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'БОБ+ЦБ'!$A$1:$AN$12</definedName>
    <definedName name="_xlnm.Print_Area" localSheetId="4">'Детский дом (2)'!$A$1:$AM$5</definedName>
    <definedName name="_xlnm.Print_Area" localSheetId="2">'ДОД (2)'!$A$1:$U$7</definedName>
    <definedName name="_xlnm.Print_Area" localSheetId="0">'ДОУ (2)'!$A$1:$Z$19</definedName>
    <definedName name="_xlnm.Print_Area" localSheetId="3">коррекц.!$A$1:$T$8</definedName>
    <definedName name="_xlnm.Print_Area" localSheetId="1">'ШКОЛЫ (2)'!$A$2:$U$20</definedName>
  </definedNames>
  <calcPr calcId="125725" refMode="R1C1"/>
</workbook>
</file>

<file path=xl/calcChain.xml><?xml version="1.0" encoding="utf-8"?>
<calcChain xmlns="http://schemas.openxmlformats.org/spreadsheetml/2006/main">
  <c r="S5" i="4"/>
  <c r="H20" i="8"/>
  <c r="I20" s="1"/>
  <c r="U20" s="1"/>
  <c r="E20"/>
  <c r="F20" s="1"/>
  <c r="L20"/>
  <c r="S20"/>
  <c r="H17"/>
  <c r="E17"/>
  <c r="F17" s="1"/>
  <c r="I17" s="1"/>
  <c r="U17" s="1"/>
  <c r="L17"/>
  <c r="S17"/>
  <c r="H10"/>
  <c r="E10"/>
  <c r="F10"/>
  <c r="I10" s="1"/>
  <c r="U10" s="1"/>
  <c r="Q10"/>
  <c r="T14"/>
  <c r="H15"/>
  <c r="E15"/>
  <c r="F15" s="1"/>
  <c r="I15" s="1"/>
  <c r="U15" s="1"/>
  <c r="H8"/>
  <c r="E8"/>
  <c r="F8" s="1"/>
  <c r="I8" s="1"/>
  <c r="U8" s="1"/>
  <c r="S8"/>
  <c r="N17" i="7"/>
  <c r="K17"/>
  <c r="L17"/>
  <c r="O17" s="1"/>
  <c r="Z17" s="1"/>
  <c r="T17"/>
  <c r="Y17"/>
  <c r="Y19"/>
  <c r="N6"/>
  <c r="K6"/>
  <c r="L6"/>
  <c r="O6" s="1"/>
  <c r="Z6" s="1"/>
  <c r="X6"/>
  <c r="N5"/>
  <c r="O5" s="1"/>
  <c r="Z5" s="1"/>
  <c r="K5"/>
  <c r="L5" s="1"/>
  <c r="X5"/>
  <c r="J5" i="4"/>
  <c r="K5" s="1"/>
  <c r="T5" s="1"/>
  <c r="T15" i="8"/>
  <c r="H14"/>
  <c r="E14"/>
  <c r="F14" s="1"/>
  <c r="I14" s="1"/>
  <c r="U14" s="1"/>
  <c r="Q14"/>
  <c r="H6"/>
  <c r="F6"/>
  <c r="I6"/>
  <c r="U6" s="1"/>
  <c r="S9"/>
  <c r="E19"/>
  <c r="F19" s="1"/>
  <c r="I19" s="1"/>
  <c r="U19" s="1"/>
  <c r="K7" i="7"/>
  <c r="K8"/>
  <c r="L8" s="1"/>
  <c r="O8" s="1"/>
  <c r="Z8" s="1"/>
  <c r="K9"/>
  <c r="K10"/>
  <c r="L10"/>
  <c r="K11"/>
  <c r="K12"/>
  <c r="K13"/>
  <c r="K14"/>
  <c r="L14" s="1"/>
  <c r="O14" s="1"/>
  <c r="Z14" s="1"/>
  <c r="K15"/>
  <c r="L15" s="1"/>
  <c r="K16"/>
  <c r="L16" s="1"/>
  <c r="K18"/>
  <c r="K19"/>
  <c r="AK5" i="10"/>
  <c r="S18" i="8"/>
  <c r="S13"/>
  <c r="E16"/>
  <c r="E13"/>
  <c r="F13"/>
  <c r="E12"/>
  <c r="E9"/>
  <c r="L18" i="7"/>
  <c r="L19"/>
  <c r="X13"/>
  <c r="AG5" i="10"/>
  <c r="AH5"/>
  <c r="AC5"/>
  <c r="AD5" s="1"/>
  <c r="AM5" s="1"/>
  <c r="Q7" i="9"/>
  <c r="R7" s="1"/>
  <c r="L7"/>
  <c r="M7" s="1"/>
  <c r="U7" s="1"/>
  <c r="Q6"/>
  <c r="R6" s="1"/>
  <c r="L6"/>
  <c r="M6"/>
  <c r="U6" s="1"/>
  <c r="Q5"/>
  <c r="R5" s="1"/>
  <c r="L5"/>
  <c r="M5"/>
  <c r="U5" s="1"/>
  <c r="S16" i="8"/>
  <c r="O20"/>
  <c r="P20"/>
  <c r="S19"/>
  <c r="Q19"/>
  <c r="O19"/>
  <c r="P19"/>
  <c r="K19"/>
  <c r="H19"/>
  <c r="O18"/>
  <c r="P18" s="1"/>
  <c r="H18"/>
  <c r="E18"/>
  <c r="F18" s="1"/>
  <c r="I18" s="1"/>
  <c r="U18" s="1"/>
  <c r="O17"/>
  <c r="P17"/>
  <c r="O16"/>
  <c r="P16" s="1"/>
  <c r="H16"/>
  <c r="F16"/>
  <c r="I16" s="1"/>
  <c r="U16" s="1"/>
  <c r="O15"/>
  <c r="P15" s="1"/>
  <c r="O14"/>
  <c r="P14"/>
  <c r="O13"/>
  <c r="P13" s="1"/>
  <c r="H13"/>
  <c r="I13"/>
  <c r="U13" s="1"/>
  <c r="O12"/>
  <c r="P12" s="1"/>
  <c r="H12"/>
  <c r="F12"/>
  <c r="O11"/>
  <c r="P11" s="1"/>
  <c r="H11"/>
  <c r="F11"/>
  <c r="I11" s="1"/>
  <c r="U11" s="1"/>
  <c r="O10"/>
  <c r="P10" s="1"/>
  <c r="O9"/>
  <c r="P9" s="1"/>
  <c r="K9"/>
  <c r="H9"/>
  <c r="F9"/>
  <c r="I9" s="1"/>
  <c r="U9" s="1"/>
  <c r="O8"/>
  <c r="P8" s="1"/>
  <c r="O7"/>
  <c r="P7" s="1"/>
  <c r="H7"/>
  <c r="F7"/>
  <c r="I7"/>
  <c r="U7" s="1"/>
  <c r="O6"/>
  <c r="P6" s="1"/>
  <c r="V12" i="7"/>
  <c r="V11"/>
  <c r="V9"/>
  <c r="R19"/>
  <c r="S19" s="1"/>
  <c r="N19"/>
  <c r="O19" s="1"/>
  <c r="Z19" s="1"/>
  <c r="R18"/>
  <c r="S18" s="1"/>
  <c r="N18"/>
  <c r="O18" s="1"/>
  <c r="Z18" s="1"/>
  <c r="R17"/>
  <c r="S17" s="1"/>
  <c r="R16"/>
  <c r="S16"/>
  <c r="N16"/>
  <c r="R15"/>
  <c r="S15"/>
  <c r="N15"/>
  <c r="O15" s="1"/>
  <c r="Z15" s="1"/>
  <c r="R14"/>
  <c r="S14" s="1"/>
  <c r="N14"/>
  <c r="T13"/>
  <c r="R13"/>
  <c r="S13" s="1"/>
  <c r="N13"/>
  <c r="O13" s="1"/>
  <c r="Z13" s="1"/>
  <c r="L13"/>
  <c r="R12"/>
  <c r="S12"/>
  <c r="N12"/>
  <c r="O12" s="1"/>
  <c r="Z12" s="1"/>
  <c r="L12"/>
  <c r="T11"/>
  <c r="R11"/>
  <c r="S11" s="1"/>
  <c r="N11"/>
  <c r="L11"/>
  <c r="O11" s="1"/>
  <c r="Z11" s="1"/>
  <c r="R10"/>
  <c r="S10" s="1"/>
  <c r="N10"/>
  <c r="O10" s="1"/>
  <c r="Z10" s="1"/>
  <c r="R9"/>
  <c r="S9" s="1"/>
  <c r="N9"/>
  <c r="L9"/>
  <c r="R8"/>
  <c r="S8" s="1"/>
  <c r="N8"/>
  <c r="R7"/>
  <c r="S7" s="1"/>
  <c r="N7"/>
  <c r="L7"/>
  <c r="O7" s="1"/>
  <c r="Z7" s="1"/>
  <c r="R6"/>
  <c r="S6" s="1"/>
  <c r="R5"/>
  <c r="S5" s="1"/>
  <c r="AF6" i="6"/>
  <c r="AH6"/>
  <c r="AC6"/>
  <c r="AD6" s="1"/>
  <c r="AN6" s="1"/>
  <c r="AM6"/>
  <c r="AL6"/>
  <c r="AF7"/>
  <c r="AC8"/>
  <c r="AD8" s="1"/>
  <c r="AN8" s="1"/>
  <c r="AC5"/>
  <c r="AD5"/>
  <c r="AN5" s="1"/>
  <c r="AJ6"/>
  <c r="AK6" s="1"/>
  <c r="AJ7"/>
  <c r="AK7"/>
  <c r="AJ8"/>
  <c r="AK8" s="1"/>
  <c r="AJ5"/>
  <c r="AK5"/>
  <c r="P5" i="4"/>
  <c r="Q5" s="1"/>
  <c r="AC7" i="6"/>
  <c r="AD7"/>
  <c r="AN7" s="1"/>
  <c r="I12" i="8"/>
  <c r="U12" s="1"/>
  <c r="O9" i="7"/>
  <c r="Z9" s="1"/>
  <c r="O16" l="1"/>
  <c r="Z16" s="1"/>
</calcChain>
</file>

<file path=xl/sharedStrings.xml><?xml version="1.0" encoding="utf-8"?>
<sst xmlns="http://schemas.openxmlformats.org/spreadsheetml/2006/main" count="269" uniqueCount="179">
  <si>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</si>
  <si>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</si>
  <si>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</si>
  <si>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</si>
  <si>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</si>
  <si>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</si>
  <si>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</si>
  <si>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</si>
  <si>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</si>
  <si>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</si>
  <si>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</si>
  <si>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</si>
  <si>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</si>
  <si>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</si>
  <si>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</si>
  <si>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</si>
  <si>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</si>
  <si>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</si>
  <si>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</si>
  <si>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</si>
  <si>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</si>
  <si>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</si>
  <si>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</si>
  <si>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</si>
  <si>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</si>
  <si>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</si>
  <si>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</si>
  <si>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</si>
  <si>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t>Ткаченко А. А.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</si>
  <si>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</si>
  <si>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</si>
  <si>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</si>
  <si>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</si>
  <si>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</si>
  <si>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</si>
  <si>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</si>
  <si>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</si>
  <si>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</si>
  <si>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</si>
  <si>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</si>
  <si>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</si>
  <si>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</si>
  <si>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</si>
  <si>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</si>
  <si>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</si>
  <si>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</si>
  <si>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</si>
  <si>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</si>
  <si>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</si>
  <si>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</si>
  <si>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</si>
  <si>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</si>
  <si>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</si>
  <si>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</si>
  <si>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</si>
  <si>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</si>
  <si>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</si>
  <si>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</si>
  <si>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</si>
  <si>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</si>
  <si>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</si>
  <si>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</si>
  <si>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</si>
  <si>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</si>
  <si>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Меренкова С. Ю.</t>
  </si>
  <si>
    <t>Линовский Ю. С.</t>
  </si>
  <si>
    <t>Старосельникова И. А.</t>
  </si>
  <si>
    <t>Антокин В. Д.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</si>
  <si>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</si>
  <si>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</si>
  <si>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</si>
  <si>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</si>
  <si>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</si>
  <si>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</si>
  <si>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</si>
  <si>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</si>
  <si>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</si>
  <si>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Ожогова Е.Н.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</si>
  <si>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</si>
  <si>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</si>
  <si>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</si>
  <si>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</si>
  <si>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</si>
  <si>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</si>
  <si>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</si>
  <si>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</si>
  <si>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</si>
  <si>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</si>
  <si>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</si>
  <si>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</si>
  <si>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</si>
  <si>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</si>
  <si>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</si>
  <si>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</si>
  <si>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</si>
  <si>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</si>
  <si>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</si>
  <si>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</si>
  <si>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</si>
  <si>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</si>
  <si>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</si>
  <si>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</si>
  <si>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</si>
  <si>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</si>
  <si>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</si>
  <si>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</si>
  <si>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</si>
  <si>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</si>
  <si>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</si>
  <si>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</si>
  <si>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</si>
  <si>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</si>
  <si>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</si>
  <si>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</si>
  <si>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</si>
  <si>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</si>
  <si>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</si>
  <si>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</si>
  <si>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Ударцева О. Ю.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</si>
  <si>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</si>
  <si>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</si>
  <si>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</si>
  <si>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</si>
  <si>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</si>
  <si>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</si>
  <si>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за особые условия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</si>
  <si>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</si>
  <si>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</si>
  <si>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</si>
  <si>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</si>
  <si>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</si>
  <si>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</si>
  <si>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6. МБДОУ "Каменский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</si>
  <si>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</si>
  <si>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</si>
  <si>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</si>
  <si>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</si>
  <si>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12. МБДОУ "Трудовской д/с"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</si>
  <si>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</si>
  <si>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</si>
  <si>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</si>
  <si>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</si>
  <si>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</si>
  <si>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</si>
  <si>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Беликова А.Н.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</si>
  <si>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</si>
  <si>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</si>
  <si>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</si>
  <si>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</si>
  <si>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</si>
  <si>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</si>
  <si>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</si>
  <si>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</si>
  <si>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</si>
  <si>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</si>
  <si>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</si>
  <si>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</si>
  <si>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</si>
  <si>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Ефремова</t>
  </si>
  <si>
    <t>Брехт Наталья Николаевна</t>
  </si>
  <si>
    <t>Лоренц В.В.</t>
  </si>
  <si>
    <t>Перфильев А.Н.</t>
  </si>
  <si>
    <t>Горемыкина И.В.</t>
  </si>
  <si>
    <t>Шама С.Ю.</t>
  </si>
  <si>
    <t>расчет оплаты труда  руководителя - 01.04.2018г.</t>
  </si>
  <si>
    <t>расчет оплаты труда  руководителя с 01.04.2018г.</t>
  </si>
  <si>
    <t>13. МБДОУ "Промышленновский д/с № 1 "Рябинка"</t>
  </si>
  <si>
    <t>14. МБДОУ "Детский сад "Светлячок"</t>
  </si>
  <si>
    <t>15. МАДОУ Промышленновский д/с "Сказка"</t>
  </si>
  <si>
    <t>5. МДОБУ "Калинкинский д/с"</t>
  </si>
  <si>
    <t>11. МДОБУ "Тарасовский д/с"</t>
  </si>
  <si>
    <t>3. МБОУ "Краснинская ООШ"</t>
  </si>
  <si>
    <t>4. МБОУ "Лебедевская ООШ"</t>
  </si>
  <si>
    <t>8. МБОУ "Титовская ООШ"</t>
  </si>
  <si>
    <t>Каширина Р.С.</t>
  </si>
  <si>
    <t>1. УДО ДДТ</t>
  </si>
  <si>
    <t>2. МБОУ ДО "ПромДЮСШ"</t>
  </si>
  <si>
    <t>3. МБОУ ДО "ДЮСШ п. Плотниково"</t>
  </si>
  <si>
    <t>МОКУ "Падунская  школа-интернат"</t>
  </si>
</sst>
</file>

<file path=xl/styles.xml><?xml version="1.0" encoding="utf-8"?>
<styleSheet xmlns="http://schemas.openxmlformats.org/spreadsheetml/2006/main">
  <numFmts count="1">
    <numFmt numFmtId="172" formatCode="0.0"/>
  </numFmts>
  <fonts count="16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0" xfId="0" applyFont="1"/>
    <xf numFmtId="0" fontId="0" fillId="0" borderId="0" xfId="0" applyBorder="1"/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0" fillId="2" borderId="0" xfId="0" applyFill="1"/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17" xfId="0" applyFont="1" applyFill="1" applyBorder="1" applyAlignment="1">
      <alignment vertical="top"/>
    </xf>
    <xf numFmtId="0" fontId="6" fillId="2" borderId="18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/>
    </xf>
    <xf numFmtId="2" fontId="12" fillId="2" borderId="17" xfId="0" applyNumberFormat="1" applyFont="1" applyFill="1" applyBorder="1" applyAlignment="1">
      <alignment horizontal="right" vertical="center"/>
    </xf>
    <xf numFmtId="1" fontId="12" fillId="2" borderId="17" xfId="0" applyNumberFormat="1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/>
    <xf numFmtId="0" fontId="7" fillId="2" borderId="4" xfId="0" applyFont="1" applyFill="1" applyBorder="1"/>
    <xf numFmtId="2" fontId="12" fillId="2" borderId="3" xfId="0" applyNumberFormat="1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" fontId="12" fillId="2" borderId="12" xfId="0" applyNumberFormat="1" applyFont="1" applyFill="1" applyBorder="1" applyAlignment="1">
      <alignment horizontal="right" vertical="center"/>
    </xf>
    <xf numFmtId="2" fontId="12" fillId="2" borderId="12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wrapText="1"/>
    </xf>
    <xf numFmtId="0" fontId="12" fillId="2" borderId="4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172" fontId="12" fillId="2" borderId="12" xfId="0" applyNumberFormat="1" applyFont="1" applyFill="1" applyBorder="1" applyAlignment="1">
      <alignment horizontal="right" vertical="center"/>
    </xf>
    <xf numFmtId="2" fontId="12" fillId="2" borderId="17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2" fillId="2" borderId="13" xfId="0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4" fillId="2" borderId="1" xfId="0" applyFont="1" applyFill="1" applyBorder="1"/>
    <xf numFmtId="0" fontId="14" fillId="2" borderId="22" xfId="0" applyFont="1" applyFill="1" applyBorder="1"/>
    <xf numFmtId="0" fontId="14" fillId="2" borderId="23" xfId="0" applyFont="1" applyFill="1" applyBorder="1"/>
    <xf numFmtId="0" fontId="14" fillId="2" borderId="3" xfId="0" applyFont="1" applyFill="1" applyBorder="1"/>
    <xf numFmtId="0" fontId="14" fillId="2" borderId="3" xfId="0" applyFont="1" applyFill="1" applyBorder="1"/>
    <xf numFmtId="2" fontId="14" fillId="2" borderId="3" xfId="0" applyNumberFormat="1" applyFont="1" applyFill="1" applyBorder="1"/>
    <xf numFmtId="0" fontId="14" fillId="2" borderId="24" xfId="0" applyFont="1" applyFill="1" applyBorder="1"/>
    <xf numFmtId="2" fontId="14" fillId="2" borderId="24" xfId="0" applyNumberFormat="1" applyFont="1" applyFill="1" applyBorder="1"/>
    <xf numFmtId="2" fontId="14" fillId="2" borderId="19" xfId="0" applyNumberFormat="1" applyFont="1" applyFill="1" applyBorder="1"/>
    <xf numFmtId="0" fontId="14" fillId="2" borderId="19" xfId="0" applyFont="1" applyFill="1" applyBorder="1"/>
    <xf numFmtId="2" fontId="15" fillId="2" borderId="4" xfId="0" applyNumberFormat="1" applyFont="1" applyFill="1" applyBorder="1" applyAlignment="1">
      <alignment vertical="top" wrapText="1"/>
    </xf>
    <xf numFmtId="0" fontId="14" fillId="2" borderId="4" xfId="0" applyFont="1" applyFill="1" applyBorder="1"/>
    <xf numFmtId="0" fontId="14" fillId="2" borderId="0" xfId="0" applyFont="1" applyFill="1"/>
    <xf numFmtId="0" fontId="14" fillId="2" borderId="25" xfId="0" applyFont="1" applyFill="1" applyBorder="1"/>
    <xf numFmtId="0" fontId="14" fillId="2" borderId="26" xfId="0" applyFont="1" applyFill="1" applyBorder="1"/>
    <xf numFmtId="0" fontId="14" fillId="2" borderId="27" xfId="0" applyFont="1" applyFill="1" applyBorder="1"/>
    <xf numFmtId="2" fontId="14" fillId="2" borderId="25" xfId="0" applyNumberFormat="1" applyFont="1" applyFill="1" applyBorder="1"/>
    <xf numFmtId="0" fontId="14" fillId="2" borderId="28" xfId="0" applyFont="1" applyFill="1" applyBorder="1"/>
    <xf numFmtId="2" fontId="14" fillId="2" borderId="28" xfId="0" applyNumberFormat="1" applyFont="1" applyFill="1" applyBorder="1"/>
    <xf numFmtId="2" fontId="14" fillId="2" borderId="15" xfId="0" applyNumberFormat="1" applyFont="1" applyFill="1" applyBorder="1"/>
    <xf numFmtId="0" fontId="14" fillId="2" borderId="13" xfId="0" applyFont="1" applyFill="1" applyBorder="1"/>
    <xf numFmtId="2" fontId="14" fillId="2" borderId="4" xfId="0" applyNumberFormat="1" applyFont="1" applyFill="1" applyBorder="1"/>
    <xf numFmtId="0" fontId="14" fillId="2" borderId="12" xfId="0" applyFont="1" applyFill="1" applyBorder="1"/>
    <xf numFmtId="0" fontId="14" fillId="2" borderId="2" xfId="0" applyFont="1" applyFill="1" applyBorder="1"/>
    <xf numFmtId="0" fontId="14" fillId="2" borderId="17" xfId="0" applyFont="1" applyFill="1" applyBorder="1"/>
    <xf numFmtId="0" fontId="14" fillId="2" borderId="18" xfId="0" applyFont="1" applyFill="1" applyBorder="1"/>
    <xf numFmtId="0" fontId="14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24" xfId="0" applyFont="1" applyFill="1" applyBorder="1"/>
    <xf numFmtId="2" fontId="2" fillId="2" borderId="24" xfId="0" applyNumberFormat="1" applyFont="1" applyFill="1" applyBorder="1"/>
    <xf numFmtId="2" fontId="2" fillId="2" borderId="19" xfId="0" applyNumberFormat="1" applyFont="1" applyFill="1" applyBorder="1"/>
    <xf numFmtId="0" fontId="2" fillId="2" borderId="19" xfId="0" applyFont="1" applyFill="1" applyBorder="1"/>
    <xf numFmtId="2" fontId="2" fillId="2" borderId="4" xfId="0" applyNumberFormat="1" applyFont="1" applyFill="1" applyBorder="1"/>
    <xf numFmtId="2" fontId="0" fillId="2" borderId="4" xfId="0" applyNumberFormat="1" applyFill="1" applyBorder="1" applyAlignment="1">
      <alignment vertical="top" wrapText="1"/>
    </xf>
    <xf numFmtId="2" fontId="2" fillId="2" borderId="3" xfId="0" applyNumberFormat="1" applyFont="1" applyFill="1" applyBorder="1"/>
    <xf numFmtId="0" fontId="2" fillId="2" borderId="12" xfId="0" applyFont="1" applyFill="1" applyBorder="1"/>
    <xf numFmtId="1" fontId="2" fillId="2" borderId="3" xfId="0" applyNumberFormat="1" applyFont="1" applyFill="1" applyBorder="1"/>
    <xf numFmtId="1" fontId="2" fillId="2" borderId="19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6" fillId="2" borderId="24" xfId="0" applyFont="1" applyFill="1" applyBorder="1"/>
    <xf numFmtId="0" fontId="4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2" fillId="2" borderId="22" xfId="0" applyFont="1" applyFill="1" applyBorder="1"/>
    <xf numFmtId="0" fontId="2" fillId="2" borderId="23" xfId="0" applyFont="1" applyFill="1" applyBorder="1"/>
    <xf numFmtId="0" fontId="5" fillId="2" borderId="3" xfId="0" applyFont="1" applyFill="1" applyBorder="1"/>
    <xf numFmtId="2" fontId="0" fillId="2" borderId="19" xfId="0" applyNumberFormat="1" applyFill="1" applyBorder="1" applyAlignment="1">
      <alignment vertical="top" wrapText="1"/>
    </xf>
    <xf numFmtId="0" fontId="2" fillId="2" borderId="17" xfId="0" applyFont="1" applyFill="1" applyBorder="1"/>
    <xf numFmtId="0" fontId="2" fillId="2" borderId="18" xfId="0" applyFont="1" applyFill="1" applyBorder="1"/>
    <xf numFmtId="0" fontId="0" fillId="2" borderId="4" xfId="0" applyFill="1" applyBorder="1"/>
    <xf numFmtId="0" fontId="4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2" fontId="2" fillId="2" borderId="3" xfId="0" applyNumberFormat="1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2" fontId="2" fillId="2" borderId="19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68"/>
  <sheetViews>
    <sheetView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1" sqref="Q1"/>
    </sheetView>
  </sheetViews>
  <sheetFormatPr defaultRowHeight="15"/>
  <cols>
    <col min="1" max="1" width="50.5703125" customWidth="1"/>
    <col min="2" max="2" width="20.42578125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8.5703125" customWidth="1"/>
    <col min="10" max="10" width="12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0.28515625" customWidth="1"/>
    <col min="16" max="16" width="5.85546875" customWidth="1"/>
    <col min="17" max="18" width="10.42578125" customWidth="1"/>
    <col min="19" max="19" width="9.28515625" customWidth="1"/>
    <col min="20" max="20" width="9.7109375" customWidth="1"/>
    <col min="21" max="21" width="12.5703125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</cols>
  <sheetData>
    <row r="1" spans="1:26" ht="18.75">
      <c r="A1" s="1" t="s">
        <v>165</v>
      </c>
      <c r="B1" s="1"/>
      <c r="C1" s="1"/>
      <c r="D1" s="1"/>
      <c r="E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2.25" customHeight="1" thickBot="1">
      <c r="Q2" s="9" t="s">
        <v>114</v>
      </c>
      <c r="T2" s="9" t="s">
        <v>114</v>
      </c>
    </row>
    <row r="3" spans="1:26" s="21" customFormat="1" ht="49.5" customHeight="1" thickBot="1">
      <c r="A3" s="52" t="s">
        <v>0</v>
      </c>
      <c r="B3" s="52" t="s">
        <v>1</v>
      </c>
      <c r="C3" s="138" t="s">
        <v>3</v>
      </c>
      <c r="D3" s="139"/>
      <c r="E3" s="138" t="s">
        <v>6</v>
      </c>
      <c r="F3" s="140"/>
      <c r="G3" s="140"/>
      <c r="H3" s="139"/>
      <c r="I3" s="136" t="s">
        <v>138</v>
      </c>
      <c r="J3" s="136" t="s">
        <v>139</v>
      </c>
      <c r="K3" s="136" t="s">
        <v>140</v>
      </c>
      <c r="L3" s="141" t="s">
        <v>141</v>
      </c>
      <c r="M3" s="136" t="s">
        <v>12</v>
      </c>
      <c r="N3" s="129" t="s">
        <v>13</v>
      </c>
      <c r="O3" s="129" t="s">
        <v>14</v>
      </c>
      <c r="P3" s="53" t="s">
        <v>70</v>
      </c>
      <c r="Q3" s="131" t="s">
        <v>108</v>
      </c>
      <c r="R3" s="131"/>
      <c r="S3" s="131"/>
      <c r="T3" s="131" t="s">
        <v>112</v>
      </c>
      <c r="U3" s="132" t="s">
        <v>80</v>
      </c>
      <c r="V3" s="54" t="s">
        <v>85</v>
      </c>
      <c r="W3" s="129" t="s">
        <v>72</v>
      </c>
      <c r="X3" s="134" t="s">
        <v>121</v>
      </c>
      <c r="Y3" s="135" t="s">
        <v>122</v>
      </c>
      <c r="Z3" s="55" t="s">
        <v>15</v>
      </c>
    </row>
    <row r="4" spans="1:26" s="21" customFormat="1" ht="72.75" customHeight="1" thickBot="1">
      <c r="A4" s="56"/>
      <c r="B4" s="56"/>
      <c r="C4" s="57" t="s">
        <v>4</v>
      </c>
      <c r="D4" s="58" t="s">
        <v>5</v>
      </c>
      <c r="E4" s="58" t="s">
        <v>7</v>
      </c>
      <c r="F4" s="59" t="s">
        <v>8</v>
      </c>
      <c r="G4" s="58" t="s">
        <v>9</v>
      </c>
      <c r="H4" s="58" t="s">
        <v>10</v>
      </c>
      <c r="I4" s="137"/>
      <c r="J4" s="137"/>
      <c r="K4" s="137"/>
      <c r="L4" s="142"/>
      <c r="M4" s="137"/>
      <c r="N4" s="130"/>
      <c r="O4" s="130"/>
      <c r="P4" s="60"/>
      <c r="Q4" s="26" t="s">
        <v>109</v>
      </c>
      <c r="R4" s="26" t="s">
        <v>110</v>
      </c>
      <c r="S4" s="26" t="s">
        <v>111</v>
      </c>
      <c r="T4" s="131"/>
      <c r="U4" s="133"/>
      <c r="V4" s="60"/>
      <c r="W4" s="130"/>
      <c r="X4" s="134"/>
      <c r="Y4" s="135"/>
      <c r="Z4" s="55"/>
    </row>
    <row r="5" spans="1:26" s="21" customFormat="1" ht="21.95" customHeight="1">
      <c r="A5" s="61" t="s">
        <v>129</v>
      </c>
      <c r="B5" s="61" t="s">
        <v>16</v>
      </c>
      <c r="C5" s="62">
        <v>24</v>
      </c>
      <c r="D5" s="61">
        <v>5</v>
      </c>
      <c r="E5" s="61"/>
      <c r="F5" s="63">
        <v>5</v>
      </c>
      <c r="G5" s="61">
        <v>0</v>
      </c>
      <c r="H5" s="61">
        <v>10</v>
      </c>
      <c r="I5" s="64">
        <v>16108</v>
      </c>
      <c r="J5" s="64">
        <v>50</v>
      </c>
      <c r="K5" s="64">
        <f>SUM(J5*3/100)</f>
        <v>1.5</v>
      </c>
      <c r="L5" s="65">
        <f>SUM(J5-K5)</f>
        <v>48.5</v>
      </c>
      <c r="M5" s="61">
        <v>9912</v>
      </c>
      <c r="N5" s="64">
        <f t="shared" ref="N5:N19" si="0">SUM(M5/100)</f>
        <v>99.12</v>
      </c>
      <c r="O5" s="66">
        <f t="shared" ref="O5:O19" si="1">SUM(N5*L5)</f>
        <v>4807.3200000000006</v>
      </c>
      <c r="P5" s="67"/>
      <c r="Q5" s="68">
        <v>29086.44</v>
      </c>
      <c r="R5" s="69">
        <f t="shared" ref="R5:R19" si="2">SUM(Q5/1.3)</f>
        <v>22374.184615384613</v>
      </c>
      <c r="S5" s="69">
        <f t="shared" ref="S5:S19" si="3">SUM(Q5-R5)</f>
        <v>6712.255384615386</v>
      </c>
      <c r="T5" s="70"/>
      <c r="U5" s="70"/>
      <c r="V5" s="70">
        <v>500</v>
      </c>
      <c r="W5" s="70">
        <v>0</v>
      </c>
      <c r="X5" s="69">
        <f>SUM(Q5*15%)</f>
        <v>4362.9659999999994</v>
      </c>
      <c r="Y5" s="70"/>
      <c r="Z5" s="71">
        <f>SUM(O5+P5+Q5+T5+U5+V5+W5+X5+Y5)</f>
        <v>38756.726000000002</v>
      </c>
    </row>
    <row r="6" spans="1:26" s="21" customFormat="1" ht="21.95" customHeight="1">
      <c r="A6" s="61" t="s">
        <v>145</v>
      </c>
      <c r="B6" s="61" t="s">
        <v>17</v>
      </c>
      <c r="C6" s="62">
        <v>8</v>
      </c>
      <c r="D6" s="61">
        <v>0</v>
      </c>
      <c r="E6" s="61">
        <v>0</v>
      </c>
      <c r="F6" s="63">
        <v>0</v>
      </c>
      <c r="G6" s="61">
        <v>0</v>
      </c>
      <c r="H6" s="61">
        <v>0</v>
      </c>
      <c r="I6" s="64">
        <v>78611</v>
      </c>
      <c r="J6" s="64">
        <v>29</v>
      </c>
      <c r="K6" s="64">
        <f t="shared" ref="K6:K19" si="4">SUM(J6*3/100)</f>
        <v>0.87</v>
      </c>
      <c r="L6" s="65">
        <f t="shared" ref="L6:L19" si="5">SUM(J6-K6)</f>
        <v>28.13</v>
      </c>
      <c r="M6" s="61">
        <v>9998</v>
      </c>
      <c r="N6" s="64">
        <f t="shared" si="0"/>
        <v>99.98</v>
      </c>
      <c r="O6" s="66">
        <f t="shared" si="1"/>
        <v>2812.4373999999998</v>
      </c>
      <c r="P6" s="67"/>
      <c r="Q6" s="68">
        <v>24999.65</v>
      </c>
      <c r="R6" s="69">
        <f t="shared" si="2"/>
        <v>19230.5</v>
      </c>
      <c r="S6" s="69">
        <f t="shared" si="3"/>
        <v>5769.1500000000015</v>
      </c>
      <c r="T6" s="70"/>
      <c r="U6" s="70"/>
      <c r="V6" s="70">
        <v>500</v>
      </c>
      <c r="W6" s="70">
        <v>0</v>
      </c>
      <c r="X6" s="69">
        <f>SUM(Q6*15%)</f>
        <v>3749.9475000000002</v>
      </c>
      <c r="Y6" s="70"/>
      <c r="Z6" s="71">
        <f>SUM(O6+P6+Q6+T6+U6+V6+W6+X6+Y6)+0.01</f>
        <v>32062.044899999997</v>
      </c>
    </row>
    <row r="7" spans="1:26" s="21" customFormat="1" ht="21.95" customHeight="1">
      <c r="A7" s="61" t="s">
        <v>130</v>
      </c>
      <c r="B7" s="61" t="s">
        <v>18</v>
      </c>
      <c r="C7" s="62">
        <v>16</v>
      </c>
      <c r="D7" s="61">
        <v>0</v>
      </c>
      <c r="E7" s="61">
        <v>10</v>
      </c>
      <c r="F7" s="63">
        <v>5</v>
      </c>
      <c r="G7" s="61">
        <v>0</v>
      </c>
      <c r="H7" s="61">
        <v>10</v>
      </c>
      <c r="I7" s="64">
        <v>1429</v>
      </c>
      <c r="J7" s="64">
        <v>34</v>
      </c>
      <c r="K7" s="64">
        <f t="shared" si="4"/>
        <v>1.02</v>
      </c>
      <c r="L7" s="65">
        <f t="shared" si="5"/>
        <v>32.979999999999997</v>
      </c>
      <c r="M7" s="61">
        <v>2067</v>
      </c>
      <c r="N7" s="64">
        <f t="shared" si="0"/>
        <v>20.67</v>
      </c>
      <c r="O7" s="66">
        <f t="shared" si="1"/>
        <v>681.69659999999999</v>
      </c>
      <c r="P7" s="67"/>
      <c r="Q7" s="68">
        <v>16067.24</v>
      </c>
      <c r="R7" s="69">
        <f t="shared" si="2"/>
        <v>12359.415384615384</v>
      </c>
      <c r="S7" s="69">
        <f t="shared" si="3"/>
        <v>3707.8246153846158</v>
      </c>
      <c r="T7" s="70"/>
      <c r="U7" s="70"/>
      <c r="V7" s="70">
        <v>500</v>
      </c>
      <c r="W7" s="70">
        <v>0</v>
      </c>
      <c r="X7" s="69"/>
      <c r="Y7" s="70"/>
      <c r="Z7" s="71">
        <f t="shared" ref="Z7:Z18" si="6">SUM(O7+P7+Q7+T7+U7+V7+W7+X7+Y7)</f>
        <v>17248.936600000001</v>
      </c>
    </row>
    <row r="8" spans="1:26" s="21" customFormat="1" ht="21.95" customHeight="1">
      <c r="A8" s="61" t="s">
        <v>131</v>
      </c>
      <c r="B8" s="61" t="s">
        <v>22</v>
      </c>
      <c r="C8" s="62">
        <v>16</v>
      </c>
      <c r="D8" s="61">
        <v>0</v>
      </c>
      <c r="E8" s="61">
        <v>0</v>
      </c>
      <c r="F8" s="63">
        <v>0</v>
      </c>
      <c r="G8" s="61">
        <v>0</v>
      </c>
      <c r="H8" s="61">
        <v>0</v>
      </c>
      <c r="I8" s="64">
        <v>17489</v>
      </c>
      <c r="J8" s="64">
        <v>18</v>
      </c>
      <c r="K8" s="64">
        <f t="shared" si="4"/>
        <v>0.54</v>
      </c>
      <c r="L8" s="65">
        <f t="shared" si="5"/>
        <v>17.46</v>
      </c>
      <c r="M8" s="61">
        <v>2273</v>
      </c>
      <c r="N8" s="64">
        <f t="shared" si="0"/>
        <v>22.73</v>
      </c>
      <c r="O8" s="66">
        <f t="shared" si="1"/>
        <v>396.86580000000004</v>
      </c>
      <c r="P8" s="67"/>
      <c r="Q8" s="68">
        <v>14983.01</v>
      </c>
      <c r="R8" s="69">
        <f t="shared" si="2"/>
        <v>11525.392307692307</v>
      </c>
      <c r="S8" s="69">
        <f t="shared" si="3"/>
        <v>3457.6176923076928</v>
      </c>
      <c r="T8" s="70"/>
      <c r="U8" s="70"/>
      <c r="V8" s="70">
        <v>500</v>
      </c>
      <c r="W8" s="70">
        <v>0</v>
      </c>
      <c r="X8" s="69"/>
      <c r="Y8" s="70"/>
      <c r="Z8" s="71">
        <f t="shared" si="6"/>
        <v>15879.8758</v>
      </c>
    </row>
    <row r="9" spans="1:26" s="21" customFormat="1" ht="21.95" customHeight="1">
      <c r="A9" s="61" t="s">
        <v>169</v>
      </c>
      <c r="B9" s="61" t="s">
        <v>19</v>
      </c>
      <c r="C9" s="62">
        <v>16</v>
      </c>
      <c r="D9" s="61">
        <v>0</v>
      </c>
      <c r="E9" s="61"/>
      <c r="F9" s="63"/>
      <c r="G9" s="61">
        <v>10</v>
      </c>
      <c r="H9" s="61">
        <v>0</v>
      </c>
      <c r="I9" s="64">
        <v>6525</v>
      </c>
      <c r="J9" s="64">
        <v>31</v>
      </c>
      <c r="K9" s="64">
        <f t="shared" si="4"/>
        <v>0.93</v>
      </c>
      <c r="L9" s="65">
        <f t="shared" si="5"/>
        <v>30.07</v>
      </c>
      <c r="M9" s="61">
        <v>2373</v>
      </c>
      <c r="N9" s="64">
        <f t="shared" si="0"/>
        <v>23.73</v>
      </c>
      <c r="O9" s="66">
        <f t="shared" si="1"/>
        <v>713.56110000000001</v>
      </c>
      <c r="P9" s="67"/>
      <c r="Q9" s="68">
        <v>24154.55</v>
      </c>
      <c r="R9" s="69">
        <f t="shared" si="2"/>
        <v>18580.423076923074</v>
      </c>
      <c r="S9" s="69">
        <f t="shared" si="3"/>
        <v>5574.1269230769249</v>
      </c>
      <c r="T9" s="70"/>
      <c r="U9" s="70"/>
      <c r="V9" s="70">
        <f>500</f>
        <v>500</v>
      </c>
      <c r="W9" s="70">
        <v>0</v>
      </c>
      <c r="X9" s="69"/>
      <c r="Y9" s="70"/>
      <c r="Z9" s="71">
        <f t="shared" si="6"/>
        <v>25368.111099999998</v>
      </c>
    </row>
    <row r="10" spans="1:26" s="21" customFormat="1" ht="24" customHeight="1">
      <c r="A10" s="61" t="s">
        <v>132</v>
      </c>
      <c r="B10" s="61" t="s">
        <v>160</v>
      </c>
      <c r="C10" s="62"/>
      <c r="D10" s="61"/>
      <c r="E10" s="61"/>
      <c r="F10" s="63"/>
      <c r="G10" s="61"/>
      <c r="H10" s="61"/>
      <c r="I10" s="64">
        <v>6519</v>
      </c>
      <c r="J10" s="64">
        <v>36</v>
      </c>
      <c r="K10" s="64">
        <f t="shared" si="4"/>
        <v>1.08</v>
      </c>
      <c r="L10" s="65">
        <f t="shared" si="5"/>
        <v>34.92</v>
      </c>
      <c r="M10" s="61">
        <v>2820</v>
      </c>
      <c r="N10" s="64">
        <f t="shared" si="0"/>
        <v>28.2</v>
      </c>
      <c r="O10" s="66">
        <f t="shared" si="1"/>
        <v>984.74400000000003</v>
      </c>
      <c r="P10" s="67"/>
      <c r="Q10" s="68">
        <v>24616.41</v>
      </c>
      <c r="R10" s="69">
        <f t="shared" si="2"/>
        <v>18935.7</v>
      </c>
      <c r="S10" s="69">
        <f t="shared" si="3"/>
        <v>5680.7099999999991</v>
      </c>
      <c r="T10" s="69"/>
      <c r="U10" s="70"/>
      <c r="V10" s="70">
        <v>500</v>
      </c>
      <c r="W10" s="70">
        <v>0</v>
      </c>
      <c r="X10" s="69"/>
      <c r="Y10" s="70"/>
      <c r="Z10" s="71">
        <f t="shared" si="6"/>
        <v>26101.153999999999</v>
      </c>
    </row>
    <row r="11" spans="1:26" s="21" customFormat="1" ht="21.95" customHeight="1">
      <c r="A11" s="61" t="s">
        <v>133</v>
      </c>
      <c r="B11" s="61" t="s">
        <v>78</v>
      </c>
      <c r="C11" s="62">
        <v>8</v>
      </c>
      <c r="D11" s="61">
        <v>0</v>
      </c>
      <c r="E11" s="61">
        <v>0</v>
      </c>
      <c r="F11" s="63">
        <v>0</v>
      </c>
      <c r="G11" s="61">
        <v>0</v>
      </c>
      <c r="H11" s="61">
        <v>10</v>
      </c>
      <c r="I11" s="64">
        <v>3248</v>
      </c>
      <c r="J11" s="64">
        <v>44</v>
      </c>
      <c r="K11" s="64">
        <f t="shared" si="4"/>
        <v>1.32</v>
      </c>
      <c r="L11" s="65">
        <f t="shared" si="5"/>
        <v>42.68</v>
      </c>
      <c r="M11" s="61">
        <v>2795</v>
      </c>
      <c r="N11" s="64">
        <f t="shared" si="0"/>
        <v>27.95</v>
      </c>
      <c r="O11" s="66">
        <f t="shared" si="1"/>
        <v>1192.9059999999999</v>
      </c>
      <c r="P11" s="67"/>
      <c r="Q11" s="68">
        <v>26623.73</v>
      </c>
      <c r="R11" s="69">
        <f t="shared" si="2"/>
        <v>20479.792307692307</v>
      </c>
      <c r="S11" s="69">
        <f t="shared" si="3"/>
        <v>6143.9376923076925</v>
      </c>
      <c r="T11" s="69">
        <f>SUM(Q11*10%)</f>
        <v>2662.373</v>
      </c>
      <c r="U11" s="70"/>
      <c r="V11" s="70">
        <f>500</f>
        <v>500</v>
      </c>
      <c r="W11" s="70">
        <v>0</v>
      </c>
      <c r="X11" s="69"/>
      <c r="Y11" s="70"/>
      <c r="Z11" s="71">
        <f t="shared" si="6"/>
        <v>30979.008999999998</v>
      </c>
    </row>
    <row r="12" spans="1:26" s="21" customFormat="1" ht="21.95" customHeight="1">
      <c r="A12" s="61" t="s">
        <v>134</v>
      </c>
      <c r="B12" s="61" t="s">
        <v>20</v>
      </c>
      <c r="C12" s="62">
        <v>16</v>
      </c>
      <c r="D12" s="61">
        <v>0</v>
      </c>
      <c r="E12" s="61">
        <v>0</v>
      </c>
      <c r="F12" s="63">
        <v>0</v>
      </c>
      <c r="G12" s="61">
        <v>0</v>
      </c>
      <c r="H12" s="61">
        <v>0</v>
      </c>
      <c r="I12" s="64">
        <v>25069</v>
      </c>
      <c r="J12" s="64">
        <v>39</v>
      </c>
      <c r="K12" s="64">
        <f t="shared" si="4"/>
        <v>1.17</v>
      </c>
      <c r="L12" s="65">
        <f t="shared" si="5"/>
        <v>37.83</v>
      </c>
      <c r="M12" s="61">
        <v>2320</v>
      </c>
      <c r="N12" s="64">
        <f t="shared" si="0"/>
        <v>23.2</v>
      </c>
      <c r="O12" s="66">
        <f t="shared" si="1"/>
        <v>877.65599999999995</v>
      </c>
      <c r="P12" s="67"/>
      <c r="Q12" s="68">
        <v>18463.47</v>
      </c>
      <c r="R12" s="69">
        <f t="shared" si="2"/>
        <v>14202.669230769232</v>
      </c>
      <c r="S12" s="69">
        <f t="shared" si="3"/>
        <v>4260.8007692307692</v>
      </c>
      <c r="T12" s="69"/>
      <c r="U12" s="70"/>
      <c r="V12" s="70">
        <f>500</f>
        <v>500</v>
      </c>
      <c r="W12" s="70">
        <v>0</v>
      </c>
      <c r="X12" s="69"/>
      <c r="Y12" s="70"/>
      <c r="Z12" s="71">
        <f t="shared" si="6"/>
        <v>19841.126</v>
      </c>
    </row>
    <row r="13" spans="1:26" s="21" customFormat="1" ht="21.95" customHeight="1">
      <c r="A13" s="61" t="s">
        <v>135</v>
      </c>
      <c r="B13" s="61" t="s">
        <v>21</v>
      </c>
      <c r="C13" s="62">
        <v>24</v>
      </c>
      <c r="D13" s="61">
        <v>0</v>
      </c>
      <c r="E13" s="61">
        <v>10</v>
      </c>
      <c r="F13" s="63">
        <v>0</v>
      </c>
      <c r="G13" s="61">
        <v>0</v>
      </c>
      <c r="H13" s="61">
        <v>10</v>
      </c>
      <c r="I13" s="64">
        <v>71148</v>
      </c>
      <c r="J13" s="64">
        <v>28</v>
      </c>
      <c r="K13" s="64">
        <f t="shared" si="4"/>
        <v>0.84</v>
      </c>
      <c r="L13" s="65">
        <f t="shared" si="5"/>
        <v>27.16</v>
      </c>
      <c r="M13" s="61">
        <v>23311</v>
      </c>
      <c r="N13" s="64">
        <f t="shared" si="0"/>
        <v>233.11</v>
      </c>
      <c r="O13" s="69">
        <f t="shared" si="1"/>
        <v>6331.2676000000001</v>
      </c>
      <c r="P13" s="72"/>
      <c r="Q13" s="73">
        <v>30102.240000000002</v>
      </c>
      <c r="R13" s="69">
        <f t="shared" si="2"/>
        <v>23155.56923076923</v>
      </c>
      <c r="S13" s="69">
        <f t="shared" si="3"/>
        <v>6946.6707692307718</v>
      </c>
      <c r="T13" s="69">
        <f>SUM(Q13*10%)</f>
        <v>3010.2240000000002</v>
      </c>
      <c r="U13" s="70"/>
      <c r="V13" s="70">
        <v>500</v>
      </c>
      <c r="W13" s="70">
        <v>0</v>
      </c>
      <c r="X13" s="69">
        <f>SUM(Q13*15%)</f>
        <v>4515.3360000000002</v>
      </c>
      <c r="Y13" s="70"/>
      <c r="Z13" s="71">
        <f t="shared" si="6"/>
        <v>44459.067600000009</v>
      </c>
    </row>
    <row r="14" spans="1:26" s="21" customFormat="1" ht="21.95" customHeight="1">
      <c r="A14" s="61" t="s">
        <v>136</v>
      </c>
      <c r="B14" s="61" t="s">
        <v>113</v>
      </c>
      <c r="C14" s="62">
        <v>8</v>
      </c>
      <c r="D14" s="61">
        <v>0</v>
      </c>
      <c r="E14" s="61">
        <v>0</v>
      </c>
      <c r="F14" s="63">
        <v>0</v>
      </c>
      <c r="G14" s="61">
        <v>0</v>
      </c>
      <c r="H14" s="61">
        <v>0</v>
      </c>
      <c r="I14" s="64">
        <v>27593</v>
      </c>
      <c r="J14" s="64">
        <v>27</v>
      </c>
      <c r="K14" s="64">
        <f t="shared" si="4"/>
        <v>0.81</v>
      </c>
      <c r="L14" s="65">
        <f t="shared" si="5"/>
        <v>26.19</v>
      </c>
      <c r="M14" s="61">
        <v>1899</v>
      </c>
      <c r="N14" s="64">
        <f t="shared" si="0"/>
        <v>18.989999999999998</v>
      </c>
      <c r="O14" s="66">
        <f t="shared" si="1"/>
        <v>497.34809999999999</v>
      </c>
      <c r="P14" s="67"/>
      <c r="Q14" s="68">
        <v>20542.8</v>
      </c>
      <c r="R14" s="69">
        <f t="shared" si="2"/>
        <v>15802.153846153846</v>
      </c>
      <c r="S14" s="69">
        <f t="shared" si="3"/>
        <v>4740.6461538461535</v>
      </c>
      <c r="T14" s="69"/>
      <c r="U14" s="70"/>
      <c r="V14" s="70">
        <v>500</v>
      </c>
      <c r="W14" s="70">
        <v>0</v>
      </c>
      <c r="X14" s="69"/>
      <c r="Y14" s="70"/>
      <c r="Z14" s="71">
        <f t="shared" si="6"/>
        <v>21540.148099999999</v>
      </c>
    </row>
    <row r="15" spans="1:26" s="21" customFormat="1" ht="21.95" customHeight="1">
      <c r="A15" s="61" t="s">
        <v>170</v>
      </c>
      <c r="B15" s="61" t="s">
        <v>118</v>
      </c>
      <c r="C15" s="62">
        <v>24</v>
      </c>
      <c r="D15" s="61">
        <v>0</v>
      </c>
      <c r="E15" s="61">
        <v>0</v>
      </c>
      <c r="F15" s="63">
        <v>0</v>
      </c>
      <c r="G15" s="61">
        <v>10</v>
      </c>
      <c r="H15" s="61">
        <v>0</v>
      </c>
      <c r="I15" s="64">
        <v>43908</v>
      </c>
      <c r="J15" s="64">
        <v>26</v>
      </c>
      <c r="K15" s="64">
        <f t="shared" si="4"/>
        <v>0.78</v>
      </c>
      <c r="L15" s="65">
        <f t="shared" si="5"/>
        <v>25.22</v>
      </c>
      <c r="M15" s="61">
        <v>4202</v>
      </c>
      <c r="N15" s="64">
        <f t="shared" si="0"/>
        <v>42.02</v>
      </c>
      <c r="O15" s="66">
        <f t="shared" si="1"/>
        <v>1059.7444</v>
      </c>
      <c r="P15" s="67"/>
      <c r="Q15" s="68">
        <v>19573.57</v>
      </c>
      <c r="R15" s="69">
        <f t="shared" si="2"/>
        <v>15056.592307692306</v>
      </c>
      <c r="S15" s="69">
        <f t="shared" si="3"/>
        <v>4516.9776923076934</v>
      </c>
      <c r="T15" s="69"/>
      <c r="U15" s="61"/>
      <c r="V15" s="70">
        <v>500</v>
      </c>
      <c r="W15" s="70">
        <v>0</v>
      </c>
      <c r="X15" s="69"/>
      <c r="Y15" s="70"/>
      <c r="Z15" s="71">
        <f t="shared" si="6"/>
        <v>21133.314399999999</v>
      </c>
    </row>
    <row r="16" spans="1:26" s="21" customFormat="1" ht="22.15" customHeight="1" thickBot="1">
      <c r="A16" s="74" t="s">
        <v>137</v>
      </c>
      <c r="B16" s="74" t="s">
        <v>23</v>
      </c>
      <c r="C16" s="75">
        <v>8</v>
      </c>
      <c r="D16" s="74">
        <v>0</v>
      </c>
      <c r="E16" s="74">
        <v>0</v>
      </c>
      <c r="F16" s="76">
        <v>0</v>
      </c>
      <c r="G16" s="74">
        <v>0</v>
      </c>
      <c r="H16" s="74">
        <v>0</v>
      </c>
      <c r="I16" s="74">
        <v>24490</v>
      </c>
      <c r="J16" s="74">
        <v>29</v>
      </c>
      <c r="K16" s="64">
        <f t="shared" si="4"/>
        <v>0.87</v>
      </c>
      <c r="L16" s="65">
        <f t="shared" si="5"/>
        <v>28.13</v>
      </c>
      <c r="M16" s="74">
        <v>2454</v>
      </c>
      <c r="N16" s="74">
        <f t="shared" si="0"/>
        <v>24.54</v>
      </c>
      <c r="O16" s="77">
        <f t="shared" si="1"/>
        <v>690.3101999999999</v>
      </c>
      <c r="P16" s="78"/>
      <c r="Q16" s="79">
        <v>19539.66</v>
      </c>
      <c r="R16" s="69">
        <f t="shared" si="2"/>
        <v>15030.507692307692</v>
      </c>
      <c r="S16" s="69">
        <f t="shared" si="3"/>
        <v>4509.1523076923077</v>
      </c>
      <c r="T16" s="80"/>
      <c r="U16" s="81"/>
      <c r="V16" s="70">
        <v>500</v>
      </c>
      <c r="W16" s="78">
        <v>0</v>
      </c>
      <c r="X16" s="82"/>
      <c r="Y16" s="83"/>
      <c r="Z16" s="71">
        <f t="shared" si="6"/>
        <v>20729.9702</v>
      </c>
    </row>
    <row r="17" spans="1:26" s="21" customFormat="1" ht="21.95" customHeight="1">
      <c r="A17" s="84" t="s">
        <v>166</v>
      </c>
      <c r="B17" s="64" t="s">
        <v>124</v>
      </c>
      <c r="C17" s="85">
        <v>32</v>
      </c>
      <c r="D17" s="64">
        <v>5</v>
      </c>
      <c r="E17" s="64">
        <v>10</v>
      </c>
      <c r="F17" s="86">
        <v>0</v>
      </c>
      <c r="G17" s="64">
        <v>10</v>
      </c>
      <c r="H17" s="64">
        <v>10</v>
      </c>
      <c r="I17" s="64">
        <v>70353</v>
      </c>
      <c r="J17" s="64">
        <v>36</v>
      </c>
      <c r="K17" s="64">
        <f t="shared" si="4"/>
        <v>1.08</v>
      </c>
      <c r="L17" s="65">
        <f t="shared" si="5"/>
        <v>34.92</v>
      </c>
      <c r="M17" s="64">
        <v>33878</v>
      </c>
      <c r="N17" s="64">
        <f t="shared" si="0"/>
        <v>338.78</v>
      </c>
      <c r="O17" s="66">
        <f t="shared" si="1"/>
        <v>11830.1976</v>
      </c>
      <c r="P17" s="70"/>
      <c r="Q17" s="69">
        <v>36254.949999999997</v>
      </c>
      <c r="R17" s="69">
        <f t="shared" si="2"/>
        <v>27888.423076923074</v>
      </c>
      <c r="S17" s="69">
        <f t="shared" si="3"/>
        <v>8366.5269230769227</v>
      </c>
      <c r="T17" s="69">
        <f>SUM(Q17*10%)</f>
        <v>3625.4949999999999</v>
      </c>
      <c r="U17" s="70"/>
      <c r="V17" s="70">
        <v>0</v>
      </c>
      <c r="W17" s="70">
        <v>0</v>
      </c>
      <c r="X17" s="69"/>
      <c r="Y17" s="70">
        <f>SUM(Q17*20%)</f>
        <v>7250.99</v>
      </c>
      <c r="Z17" s="71">
        <f>SUM(O17+P17+Q17+T17+U17+V17+W17+X17+Y17)+0.01</f>
        <v>58961.642599999999</v>
      </c>
    </row>
    <row r="18" spans="1:26" s="21" customFormat="1" ht="31.5" customHeight="1">
      <c r="A18" s="61" t="s">
        <v>167</v>
      </c>
      <c r="B18" s="87" t="s">
        <v>143</v>
      </c>
      <c r="C18" s="62"/>
      <c r="D18" s="61"/>
      <c r="E18" s="61"/>
      <c r="F18" s="63"/>
      <c r="G18" s="61"/>
      <c r="H18" s="61"/>
      <c r="I18" s="64">
        <v>66818</v>
      </c>
      <c r="J18" s="64">
        <v>48</v>
      </c>
      <c r="K18" s="64">
        <f t="shared" si="4"/>
        <v>1.44</v>
      </c>
      <c r="L18" s="65">
        <f t="shared" si="5"/>
        <v>46.56</v>
      </c>
      <c r="M18" s="61">
        <v>15981</v>
      </c>
      <c r="N18" s="64">
        <f t="shared" si="0"/>
        <v>159.81</v>
      </c>
      <c r="O18" s="66">
        <f t="shared" si="1"/>
        <v>7440.7536000000009</v>
      </c>
      <c r="P18" s="67"/>
      <c r="Q18" s="68">
        <v>27484.560000000001</v>
      </c>
      <c r="R18" s="69">
        <f t="shared" si="2"/>
        <v>21141.969230769231</v>
      </c>
      <c r="S18" s="69">
        <f t="shared" si="3"/>
        <v>6342.5907692307701</v>
      </c>
      <c r="T18" s="70"/>
      <c r="U18" s="70"/>
      <c r="V18" s="70">
        <v>0</v>
      </c>
      <c r="W18" s="70">
        <v>0</v>
      </c>
      <c r="X18" s="70"/>
      <c r="Y18" s="70"/>
      <c r="Z18" s="71">
        <f t="shared" si="6"/>
        <v>34925.313600000001</v>
      </c>
    </row>
    <row r="19" spans="1:26" s="21" customFormat="1" ht="21.95" customHeight="1">
      <c r="A19" s="61" t="s">
        <v>168</v>
      </c>
      <c r="B19" s="61" t="s">
        <v>163</v>
      </c>
      <c r="C19" s="62">
        <v>16</v>
      </c>
      <c r="D19" s="61">
        <v>5</v>
      </c>
      <c r="E19" s="61">
        <v>10</v>
      </c>
      <c r="F19" s="63">
        <v>0</v>
      </c>
      <c r="G19" s="61">
        <v>10</v>
      </c>
      <c r="H19" s="61">
        <v>10</v>
      </c>
      <c r="I19" s="64">
        <v>166165</v>
      </c>
      <c r="J19" s="64">
        <v>45</v>
      </c>
      <c r="K19" s="64">
        <f t="shared" si="4"/>
        <v>1.35</v>
      </c>
      <c r="L19" s="64">
        <f t="shared" si="5"/>
        <v>43.65</v>
      </c>
      <c r="M19" s="88">
        <v>39381</v>
      </c>
      <c r="N19" s="64">
        <f t="shared" si="0"/>
        <v>393.81</v>
      </c>
      <c r="O19" s="66">
        <f t="shared" si="1"/>
        <v>17189.806499999999</v>
      </c>
      <c r="P19" s="67"/>
      <c r="Q19" s="68">
        <v>33524.559999999998</v>
      </c>
      <c r="R19" s="69">
        <f t="shared" si="2"/>
        <v>25788.123076923075</v>
      </c>
      <c r="S19" s="69">
        <f t="shared" si="3"/>
        <v>7736.4369230769225</v>
      </c>
      <c r="T19" s="70"/>
      <c r="U19" s="70"/>
      <c r="V19" s="70">
        <v>0</v>
      </c>
      <c r="W19" s="70">
        <v>0</v>
      </c>
      <c r="X19" s="70"/>
      <c r="Y19" s="69">
        <f>SUM(Q19*20%)</f>
        <v>6704.9120000000003</v>
      </c>
      <c r="Z19" s="71">
        <f>SUM(O19+P19+Q19+T19+U19+V19+W19+X19+Y19)</f>
        <v>57419.2785</v>
      </c>
    </row>
    <row r="20" spans="1:26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</sheetData>
  <mergeCells count="15">
    <mergeCell ref="Y3:Y4"/>
    <mergeCell ref="M3:M4"/>
    <mergeCell ref="N3:N4"/>
    <mergeCell ref="C3:D3"/>
    <mergeCell ref="E3:H3"/>
    <mergeCell ref="I3:I4"/>
    <mergeCell ref="J3:J4"/>
    <mergeCell ref="K3:K4"/>
    <mergeCell ref="L3:L4"/>
    <mergeCell ref="O3:O4"/>
    <mergeCell ref="Q3:S3"/>
    <mergeCell ref="T3:T4"/>
    <mergeCell ref="U3:U4"/>
    <mergeCell ref="W3:W4"/>
    <mergeCell ref="X3:X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34"/>
  <sheetViews>
    <sheetView zoomScaleNormal="100" workbookViewId="0">
      <pane xSplit="1" ySplit="5" topLeftCell="B9" activePane="bottomRight" state="frozen"/>
      <selection pane="topRight" activeCell="B1" sqref="B1"/>
      <selection pane="bottomLeft" activeCell="A5" sqref="A5"/>
      <selection pane="bottomRight" activeCell="A22" sqref="A22:A24"/>
    </sheetView>
  </sheetViews>
  <sheetFormatPr defaultRowHeight="15"/>
  <cols>
    <col min="1" max="1" width="39.7109375" customWidth="1"/>
    <col min="2" max="2" width="18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9.28515625" bestFit="1" customWidth="1"/>
    <col min="10" max="12" width="7.42578125" customWidth="1"/>
    <col min="13" max="13" width="5.28515625" customWidth="1"/>
    <col min="14" max="14" width="11.140625" customWidth="1"/>
    <col min="15" max="15" width="9" customWidth="1"/>
    <col min="16" max="16" width="9.28515625" customWidth="1"/>
    <col min="17" max="17" width="10.140625" customWidth="1"/>
    <col min="19" max="19" width="9" customWidth="1"/>
    <col min="20" max="20" width="10.7109375" customWidth="1"/>
    <col min="21" max="21" width="10.42578125" customWidth="1"/>
  </cols>
  <sheetData>
    <row r="2" spans="1:21" ht="55.5" customHeight="1" thickBot="1">
      <c r="A2" s="1" t="s">
        <v>165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hidden="1" customHeight="1" thickBot="1">
      <c r="A3" t="s">
        <v>2</v>
      </c>
    </row>
    <row r="4" spans="1:21" s="21" customFormat="1" ht="54" customHeight="1">
      <c r="A4" s="89" t="s">
        <v>0</v>
      </c>
      <c r="B4" s="89" t="s">
        <v>1</v>
      </c>
      <c r="C4" s="136" t="s">
        <v>138</v>
      </c>
      <c r="D4" s="136" t="s">
        <v>139</v>
      </c>
      <c r="E4" s="136" t="s">
        <v>140</v>
      </c>
      <c r="F4" s="141" t="s">
        <v>141</v>
      </c>
      <c r="G4" s="90" t="s">
        <v>12</v>
      </c>
      <c r="H4" s="54" t="s">
        <v>13</v>
      </c>
      <c r="I4" s="54" t="s">
        <v>14</v>
      </c>
      <c r="J4" s="54" t="s">
        <v>71</v>
      </c>
      <c r="K4" s="54" t="s">
        <v>81</v>
      </c>
      <c r="L4" s="54" t="s">
        <v>82</v>
      </c>
      <c r="M4" s="53" t="s">
        <v>86</v>
      </c>
      <c r="N4" s="131" t="s">
        <v>108</v>
      </c>
      <c r="O4" s="131"/>
      <c r="P4" s="131"/>
      <c r="Q4" s="131" t="s">
        <v>112</v>
      </c>
      <c r="R4" s="143" t="s">
        <v>72</v>
      </c>
      <c r="S4" s="134" t="s">
        <v>121</v>
      </c>
      <c r="T4" s="134" t="s">
        <v>122</v>
      </c>
      <c r="U4" s="55" t="s">
        <v>15</v>
      </c>
    </row>
    <row r="5" spans="1:21" s="21" customFormat="1" ht="45" customHeight="1" thickBot="1">
      <c r="A5" s="91"/>
      <c r="B5" s="91"/>
      <c r="C5" s="137"/>
      <c r="D5" s="137"/>
      <c r="E5" s="137"/>
      <c r="F5" s="142"/>
      <c r="G5" s="92"/>
      <c r="H5" s="92"/>
      <c r="I5" s="92"/>
      <c r="J5" s="60"/>
      <c r="K5" s="60"/>
      <c r="L5" s="60"/>
      <c r="M5" s="60"/>
      <c r="N5" s="26" t="s">
        <v>109</v>
      </c>
      <c r="O5" s="26" t="s">
        <v>110</v>
      </c>
      <c r="P5" s="26" t="s">
        <v>111</v>
      </c>
      <c r="Q5" s="131"/>
      <c r="R5" s="144"/>
      <c r="S5" s="134"/>
      <c r="T5" s="134"/>
      <c r="U5" s="55"/>
    </row>
    <row r="6" spans="1:21" s="21" customFormat="1" ht="19.149999999999999" customHeight="1">
      <c r="A6" s="3" t="s">
        <v>146</v>
      </c>
      <c r="B6" s="3" t="s">
        <v>65</v>
      </c>
      <c r="C6" s="5"/>
      <c r="D6" s="5">
        <v>38</v>
      </c>
      <c r="E6" s="5"/>
      <c r="F6" s="93">
        <f>SUM(D6-E6)</f>
        <v>38</v>
      </c>
      <c r="G6" s="3">
        <v>10060</v>
      </c>
      <c r="H6" s="5">
        <f t="shared" ref="H6:H20" si="0">SUM(G6/100)</f>
        <v>100.6</v>
      </c>
      <c r="I6" s="5">
        <f>SUM(H6*F6)</f>
        <v>3822.7999999999997</v>
      </c>
      <c r="J6" s="94"/>
      <c r="K6" s="94"/>
      <c r="L6" s="94">
        <v>500</v>
      </c>
      <c r="M6" s="94">
        <v>500</v>
      </c>
      <c r="N6" s="95">
        <v>24959.63</v>
      </c>
      <c r="O6" s="96">
        <f t="shared" ref="O6:O20" si="1">SUM(N6/1.3)</f>
        <v>19199.715384615385</v>
      </c>
      <c r="P6" s="96">
        <f t="shared" ref="P6:P20" si="2">SUM(N6-O6)</f>
        <v>5759.9146153846159</v>
      </c>
      <c r="Q6" s="96"/>
      <c r="R6" s="97">
        <v>0</v>
      </c>
      <c r="S6" s="98"/>
      <c r="T6" s="98"/>
      <c r="U6" s="99">
        <f>SUM(I6+J6+K6+L6+M6+N6+Q6+R6+S6+T6)</f>
        <v>29782.43</v>
      </c>
    </row>
    <row r="7" spans="1:21" s="21" customFormat="1" ht="19.149999999999999" customHeight="1">
      <c r="A7" s="3" t="s">
        <v>147</v>
      </c>
      <c r="B7" s="3" t="s">
        <v>66</v>
      </c>
      <c r="C7" s="5"/>
      <c r="D7" s="5">
        <v>43</v>
      </c>
      <c r="E7" s="5"/>
      <c r="F7" s="93">
        <f t="shared" ref="F7:F20" si="3">SUM(D7-E7)</f>
        <v>43</v>
      </c>
      <c r="G7" s="3">
        <v>9865</v>
      </c>
      <c r="H7" s="5">
        <f t="shared" si="0"/>
        <v>98.65</v>
      </c>
      <c r="I7" s="5">
        <f t="shared" ref="I7:I20" si="4">SUM(H7*F7)</f>
        <v>4241.95</v>
      </c>
      <c r="J7" s="94"/>
      <c r="K7" s="94"/>
      <c r="L7" s="94">
        <v>800</v>
      </c>
      <c r="M7" s="94">
        <v>500</v>
      </c>
      <c r="N7" s="95">
        <v>25911.98</v>
      </c>
      <c r="O7" s="96">
        <f t="shared" si="1"/>
        <v>19932.292307692307</v>
      </c>
      <c r="P7" s="96">
        <f t="shared" si="2"/>
        <v>5979.6876923076925</v>
      </c>
      <c r="Q7" s="96"/>
      <c r="R7" s="97">
        <v>0</v>
      </c>
      <c r="S7" s="98"/>
      <c r="T7" s="98"/>
      <c r="U7" s="99">
        <f t="shared" ref="U7:U19" si="5">SUM(I7+J7+K7+L7+M7+N7+Q7+R7+S7+T7)</f>
        <v>31453.93</v>
      </c>
    </row>
    <row r="8" spans="1:21" s="21" customFormat="1" ht="19.149999999999999" customHeight="1">
      <c r="A8" s="3" t="s">
        <v>171</v>
      </c>
      <c r="B8" s="3" t="s">
        <v>67</v>
      </c>
      <c r="C8" s="5">
        <v>78948</v>
      </c>
      <c r="D8" s="5">
        <v>56</v>
      </c>
      <c r="E8" s="5">
        <f>SUM(D8*3/100)</f>
        <v>1.68</v>
      </c>
      <c r="F8" s="93">
        <f t="shared" si="3"/>
        <v>54.32</v>
      </c>
      <c r="G8" s="3">
        <v>21937</v>
      </c>
      <c r="H8" s="5">
        <f t="shared" si="0"/>
        <v>219.37</v>
      </c>
      <c r="I8" s="5">
        <f>SUM(H8*F8)-0.01</f>
        <v>11916.1684</v>
      </c>
      <c r="J8" s="94"/>
      <c r="K8" s="94">
        <v>800</v>
      </c>
      <c r="L8" s="94">
        <v>500</v>
      </c>
      <c r="M8" s="94">
        <v>500</v>
      </c>
      <c r="N8" s="95">
        <v>32661.200000000001</v>
      </c>
      <c r="O8" s="96">
        <f t="shared" si="1"/>
        <v>25124</v>
      </c>
      <c r="P8" s="96">
        <f t="shared" si="2"/>
        <v>7537.2000000000007</v>
      </c>
      <c r="Q8" s="96"/>
      <c r="R8" s="97">
        <v>0</v>
      </c>
      <c r="S8" s="98">
        <f>SUM(N8*15%)</f>
        <v>4899.18</v>
      </c>
      <c r="T8" s="98"/>
      <c r="U8" s="99">
        <f>SUM(I8+J8+K8+L8+M8+N8+Q8+R8+S8+T8)</f>
        <v>51276.5484</v>
      </c>
    </row>
    <row r="9" spans="1:21" s="21" customFormat="1" ht="19.149999999999999" customHeight="1">
      <c r="A9" s="3" t="s">
        <v>172</v>
      </c>
      <c r="B9" s="6" t="s">
        <v>119</v>
      </c>
      <c r="C9" s="5">
        <v>28389</v>
      </c>
      <c r="D9" s="5">
        <v>33</v>
      </c>
      <c r="E9" s="5">
        <f t="shared" ref="E9:E17" si="6">SUM(D9*3/100)</f>
        <v>0.99</v>
      </c>
      <c r="F9" s="93">
        <f t="shared" si="3"/>
        <v>32.01</v>
      </c>
      <c r="G9" s="3">
        <v>19809</v>
      </c>
      <c r="H9" s="5">
        <f t="shared" si="0"/>
        <v>198.09</v>
      </c>
      <c r="I9" s="100">
        <f t="shared" si="4"/>
        <v>6340.8608999999997</v>
      </c>
      <c r="J9" s="94"/>
      <c r="K9" s="94">
        <f>800</f>
        <v>800</v>
      </c>
      <c r="L9" s="94">
        <v>500</v>
      </c>
      <c r="M9" s="94">
        <v>500</v>
      </c>
      <c r="N9" s="95">
        <v>34030.25</v>
      </c>
      <c r="O9" s="96">
        <f t="shared" si="1"/>
        <v>26177.115384615383</v>
      </c>
      <c r="P9" s="96">
        <f t="shared" si="2"/>
        <v>7853.1346153846171</v>
      </c>
      <c r="Q9" s="96"/>
      <c r="R9" s="97">
        <v>0</v>
      </c>
      <c r="S9" s="98">
        <f>SUM(N9*15%)</f>
        <v>5104.5374999999995</v>
      </c>
      <c r="T9" s="98"/>
      <c r="U9" s="99">
        <f t="shared" si="5"/>
        <v>47275.648399999998</v>
      </c>
    </row>
    <row r="10" spans="1:21" s="21" customFormat="1" ht="19.149999999999999" customHeight="1">
      <c r="A10" s="3" t="s">
        <v>148</v>
      </c>
      <c r="B10" s="3" t="s">
        <v>68</v>
      </c>
      <c r="C10" s="5">
        <v>1092</v>
      </c>
      <c r="D10" s="5">
        <v>38</v>
      </c>
      <c r="E10" s="5">
        <f t="shared" si="6"/>
        <v>1.1399999999999999</v>
      </c>
      <c r="F10" s="93">
        <f t="shared" si="3"/>
        <v>36.86</v>
      </c>
      <c r="G10" s="3">
        <v>12925</v>
      </c>
      <c r="H10" s="5">
        <f t="shared" si="0"/>
        <v>129.25</v>
      </c>
      <c r="I10" s="100">
        <f>SUM(H10*F10)-0.01</f>
        <v>4764.1449999999995</v>
      </c>
      <c r="J10" s="94"/>
      <c r="K10" s="94">
        <v>800</v>
      </c>
      <c r="L10" s="94"/>
      <c r="M10" s="94">
        <v>500</v>
      </c>
      <c r="N10" s="95">
        <v>29726.86</v>
      </c>
      <c r="O10" s="96">
        <f t="shared" si="1"/>
        <v>22866.815384615384</v>
      </c>
      <c r="P10" s="96">
        <f t="shared" si="2"/>
        <v>6860.0446153846169</v>
      </c>
      <c r="Q10" s="96">
        <f>SUM(N10*10%)</f>
        <v>2972.6860000000001</v>
      </c>
      <c r="R10" s="97">
        <v>0</v>
      </c>
      <c r="S10" s="98"/>
      <c r="T10" s="98"/>
      <c r="U10" s="99">
        <f>SUM(I10+J10+K10+L10+M10+N10+Q10+R10+S10+T10)+0.01</f>
        <v>38763.701000000001</v>
      </c>
    </row>
    <row r="11" spans="1:21" s="21" customFormat="1" ht="19.149999999999999" customHeight="1">
      <c r="A11" s="3" t="s">
        <v>149</v>
      </c>
      <c r="B11" s="3" t="s">
        <v>69</v>
      </c>
      <c r="C11" s="5"/>
      <c r="D11" s="5">
        <v>35</v>
      </c>
      <c r="E11" s="5"/>
      <c r="F11" s="93">
        <f t="shared" si="3"/>
        <v>35</v>
      </c>
      <c r="G11" s="3">
        <v>7450</v>
      </c>
      <c r="H11" s="5">
        <f t="shared" si="0"/>
        <v>74.5</v>
      </c>
      <c r="I11" s="100">
        <f t="shared" si="4"/>
        <v>2607.5</v>
      </c>
      <c r="J11" s="94"/>
      <c r="K11" s="94"/>
      <c r="L11" s="94"/>
      <c r="M11" s="94">
        <v>500</v>
      </c>
      <c r="N11" s="95">
        <v>24674.89</v>
      </c>
      <c r="O11" s="96">
        <f t="shared" si="1"/>
        <v>18980.684615384613</v>
      </c>
      <c r="P11" s="96">
        <f t="shared" si="2"/>
        <v>5694.2053846153867</v>
      </c>
      <c r="Q11" s="96"/>
      <c r="R11" s="97">
        <v>0</v>
      </c>
      <c r="S11" s="98"/>
      <c r="T11" s="98"/>
      <c r="U11" s="99">
        <f t="shared" si="5"/>
        <v>27782.39</v>
      </c>
    </row>
    <row r="12" spans="1:21" s="21" customFormat="1" ht="19.149999999999999" customHeight="1">
      <c r="A12" s="3" t="s">
        <v>150</v>
      </c>
      <c r="B12" s="3" t="s">
        <v>115</v>
      </c>
      <c r="C12" s="5">
        <v>20092</v>
      </c>
      <c r="D12" s="5">
        <v>54</v>
      </c>
      <c r="E12" s="5">
        <f t="shared" si="6"/>
        <v>1.62</v>
      </c>
      <c r="F12" s="93">
        <f t="shared" si="3"/>
        <v>52.38</v>
      </c>
      <c r="G12" s="3">
        <v>11077</v>
      </c>
      <c r="H12" s="5">
        <f t="shared" si="0"/>
        <v>110.77</v>
      </c>
      <c r="I12" s="100">
        <f t="shared" si="4"/>
        <v>5802.1325999999999</v>
      </c>
      <c r="J12" s="94"/>
      <c r="K12" s="94">
        <v>800</v>
      </c>
      <c r="L12" s="94">
        <v>500</v>
      </c>
      <c r="M12" s="94">
        <v>500</v>
      </c>
      <c r="N12" s="95">
        <v>27290.44</v>
      </c>
      <c r="O12" s="96">
        <f t="shared" si="1"/>
        <v>20992.646153846152</v>
      </c>
      <c r="P12" s="96">
        <f t="shared" si="2"/>
        <v>6297.793846153847</v>
      </c>
      <c r="Q12" s="96"/>
      <c r="R12" s="97">
        <v>0</v>
      </c>
      <c r="S12" s="98"/>
      <c r="T12" s="98"/>
      <c r="U12" s="99">
        <f t="shared" si="5"/>
        <v>34892.5726</v>
      </c>
    </row>
    <row r="13" spans="1:21" s="21" customFormat="1" ht="18.600000000000001" customHeight="1" thickBot="1">
      <c r="A13" s="6" t="s">
        <v>173</v>
      </c>
      <c r="B13" s="6" t="s">
        <v>158</v>
      </c>
      <c r="C13" s="6">
        <v>47721</v>
      </c>
      <c r="D13" s="6">
        <v>54</v>
      </c>
      <c r="E13" s="5">
        <f t="shared" si="6"/>
        <v>1.62</v>
      </c>
      <c r="F13" s="93">
        <f t="shared" si="3"/>
        <v>52.38</v>
      </c>
      <c r="G13" s="6">
        <v>17127</v>
      </c>
      <c r="H13" s="6">
        <f t="shared" si="0"/>
        <v>171.27</v>
      </c>
      <c r="I13" s="98">
        <f t="shared" si="4"/>
        <v>8971.1226000000006</v>
      </c>
      <c r="J13" s="6">
        <v>0</v>
      </c>
      <c r="K13" s="6">
        <v>800</v>
      </c>
      <c r="L13" s="6">
        <v>800</v>
      </c>
      <c r="M13" s="6">
        <v>500</v>
      </c>
      <c r="N13" s="98">
        <v>27297.84</v>
      </c>
      <c r="O13" s="96">
        <f t="shared" si="1"/>
        <v>20998.33846153846</v>
      </c>
      <c r="P13" s="96">
        <f t="shared" si="2"/>
        <v>6299.5015384615399</v>
      </c>
      <c r="Q13" s="98"/>
      <c r="R13" s="101">
        <v>0</v>
      </c>
      <c r="S13" s="98">
        <f>SUM(N13*15%)</f>
        <v>4094.6759999999999</v>
      </c>
      <c r="T13" s="98"/>
      <c r="U13" s="99">
        <f t="shared" si="5"/>
        <v>42463.638599999998</v>
      </c>
    </row>
    <row r="14" spans="1:21" s="21" customFormat="1" ht="19.149999999999999" customHeight="1">
      <c r="A14" s="4" t="s">
        <v>151</v>
      </c>
      <c r="B14" s="5" t="s">
        <v>63</v>
      </c>
      <c r="C14" s="5">
        <v>4076</v>
      </c>
      <c r="D14" s="102">
        <v>55</v>
      </c>
      <c r="E14" s="5">
        <f t="shared" si="6"/>
        <v>1.65</v>
      </c>
      <c r="F14" s="93">
        <f t="shared" si="3"/>
        <v>53.35</v>
      </c>
      <c r="G14" s="102">
        <v>28761</v>
      </c>
      <c r="H14" s="100">
        <f t="shared" si="0"/>
        <v>287.61</v>
      </c>
      <c r="I14" s="100">
        <f t="shared" si="4"/>
        <v>15343.9935</v>
      </c>
      <c r="J14" s="103"/>
      <c r="K14" s="103">
        <v>800</v>
      </c>
      <c r="L14" s="103">
        <v>800</v>
      </c>
      <c r="M14" s="103">
        <v>0</v>
      </c>
      <c r="N14" s="96">
        <v>37814.730000000003</v>
      </c>
      <c r="O14" s="96">
        <f t="shared" si="1"/>
        <v>29088.253846153846</v>
      </c>
      <c r="P14" s="96">
        <f t="shared" si="2"/>
        <v>8726.4761538461571</v>
      </c>
      <c r="Q14" s="96">
        <f>SUM(N14*10%)</f>
        <v>3781.4730000000004</v>
      </c>
      <c r="R14" s="103">
        <v>0</v>
      </c>
      <c r="S14" s="104"/>
      <c r="T14" s="105">
        <f>SUM(N14*20%)-0.01</f>
        <v>7562.9360000000006</v>
      </c>
      <c r="U14" s="99">
        <f>SUM(I14+J14+K14+L14+M14+N14+Q14+R14+S14+T14)</f>
        <v>66103.132500000007</v>
      </c>
    </row>
    <row r="15" spans="1:21" s="21" customFormat="1" ht="19.149999999999999" customHeight="1">
      <c r="A15" s="5" t="s">
        <v>152</v>
      </c>
      <c r="B15" s="3" t="s">
        <v>116</v>
      </c>
      <c r="C15" s="5">
        <v>34335</v>
      </c>
      <c r="D15" s="5">
        <v>46</v>
      </c>
      <c r="E15" s="5">
        <f t="shared" si="6"/>
        <v>1.38</v>
      </c>
      <c r="F15" s="93">
        <f t="shared" si="3"/>
        <v>44.62</v>
      </c>
      <c r="G15" s="3">
        <v>43451</v>
      </c>
      <c r="H15" s="5">
        <f t="shared" si="0"/>
        <v>434.51</v>
      </c>
      <c r="I15" s="100">
        <f>SUM(H15*F15)-0.01</f>
        <v>19387.8262</v>
      </c>
      <c r="J15" s="94">
        <v>0</v>
      </c>
      <c r="K15" s="94">
        <v>500</v>
      </c>
      <c r="L15" s="94">
        <v>800</v>
      </c>
      <c r="M15" s="94">
        <v>0</v>
      </c>
      <c r="N15" s="95">
        <v>48320.17</v>
      </c>
      <c r="O15" s="96">
        <f t="shared" si="1"/>
        <v>37169.361538461533</v>
      </c>
      <c r="P15" s="96">
        <f t="shared" si="2"/>
        <v>11150.808461538465</v>
      </c>
      <c r="Q15" s="96"/>
      <c r="R15" s="97">
        <v>0</v>
      </c>
      <c r="S15" s="98"/>
      <c r="T15" s="105">
        <f>SUM(N15*20%)</f>
        <v>9664.0339999999997</v>
      </c>
      <c r="U15" s="99">
        <f>SUM(I15+J15+K15+L15+M15+N15+Q15+R15+S15+T15)</f>
        <v>78672.030199999994</v>
      </c>
    </row>
    <row r="16" spans="1:21" s="21" customFormat="1" ht="19.149999999999999" customHeight="1">
      <c r="A16" s="3" t="s">
        <v>153</v>
      </c>
      <c r="B16" s="3" t="s">
        <v>142</v>
      </c>
      <c r="C16" s="5">
        <v>3693</v>
      </c>
      <c r="D16" s="5">
        <v>52</v>
      </c>
      <c r="E16" s="5">
        <f t="shared" si="6"/>
        <v>1.56</v>
      </c>
      <c r="F16" s="93">
        <f t="shared" si="3"/>
        <v>50.44</v>
      </c>
      <c r="G16" s="3">
        <v>19430</v>
      </c>
      <c r="H16" s="5">
        <f t="shared" si="0"/>
        <v>194.3</v>
      </c>
      <c r="I16" s="100">
        <f t="shared" si="4"/>
        <v>9800.4920000000002</v>
      </c>
      <c r="J16" s="94"/>
      <c r="K16" s="94">
        <v>500</v>
      </c>
      <c r="L16" s="94">
        <v>500</v>
      </c>
      <c r="M16" s="94">
        <v>500</v>
      </c>
      <c r="N16" s="95">
        <v>34967.589999999997</v>
      </c>
      <c r="O16" s="96">
        <f t="shared" si="1"/>
        <v>26898.146153846152</v>
      </c>
      <c r="P16" s="96">
        <f t="shared" si="2"/>
        <v>8069.4438461538448</v>
      </c>
      <c r="Q16" s="96"/>
      <c r="R16" s="97">
        <v>0</v>
      </c>
      <c r="S16" s="98">
        <f>SUM(N16*15%)</f>
        <v>5245.1384999999991</v>
      </c>
      <c r="T16" s="98"/>
      <c r="U16" s="99">
        <f t="shared" si="5"/>
        <v>51513.220499999996</v>
      </c>
    </row>
    <row r="17" spans="1:21" s="21" customFormat="1" ht="18.600000000000001" customHeight="1">
      <c r="A17" s="6" t="s">
        <v>154</v>
      </c>
      <c r="B17" s="6" t="s">
        <v>161</v>
      </c>
      <c r="C17" s="5">
        <v>10976</v>
      </c>
      <c r="D17" s="5">
        <v>49</v>
      </c>
      <c r="E17" s="5">
        <f t="shared" si="6"/>
        <v>1.47</v>
      </c>
      <c r="F17" s="93">
        <f t="shared" si="3"/>
        <v>47.53</v>
      </c>
      <c r="G17" s="3">
        <v>37187</v>
      </c>
      <c r="H17" s="5">
        <f t="shared" si="0"/>
        <v>371.87</v>
      </c>
      <c r="I17" s="100">
        <f t="shared" si="4"/>
        <v>17674.981100000001</v>
      </c>
      <c r="J17" s="106"/>
      <c r="K17" s="94">
        <v>500</v>
      </c>
      <c r="L17" s="94">
        <f>800</f>
        <v>800</v>
      </c>
      <c r="M17" s="94">
        <v>500</v>
      </c>
      <c r="N17" s="95">
        <v>33274.36</v>
      </c>
      <c r="O17" s="96">
        <f t="shared" si="1"/>
        <v>25595.66153846154</v>
      </c>
      <c r="P17" s="96">
        <f t="shared" si="2"/>
        <v>7678.6984615384608</v>
      </c>
      <c r="Q17" s="96"/>
      <c r="R17" s="97">
        <v>0</v>
      </c>
      <c r="S17" s="98">
        <f>SUM(N17*15%)</f>
        <v>4991.1539999999995</v>
      </c>
      <c r="T17" s="98"/>
      <c r="U17" s="99">
        <f>SUM(I17+J17+K17+L17+M17+N17+Q17+R17+S17+T17)-0.01</f>
        <v>57740.485100000005</v>
      </c>
    </row>
    <row r="18" spans="1:21" s="21" customFormat="1" ht="19.149999999999999" customHeight="1">
      <c r="A18" s="3" t="s">
        <v>155</v>
      </c>
      <c r="B18" s="3" t="s">
        <v>64</v>
      </c>
      <c r="C18" s="5">
        <v>9177</v>
      </c>
      <c r="D18" s="5">
        <v>51</v>
      </c>
      <c r="E18" s="5">
        <f>SUM(D18*3/100)</f>
        <v>1.53</v>
      </c>
      <c r="F18" s="93">
        <f t="shared" si="3"/>
        <v>49.47</v>
      </c>
      <c r="G18" s="3">
        <v>22425</v>
      </c>
      <c r="H18" s="5">
        <f t="shared" si="0"/>
        <v>224.25</v>
      </c>
      <c r="I18" s="100">
        <f t="shared" si="4"/>
        <v>11093.647499999999</v>
      </c>
      <c r="J18" s="94"/>
      <c r="K18" s="94">
        <v>800</v>
      </c>
      <c r="L18" s="94">
        <v>800</v>
      </c>
      <c r="M18" s="94">
        <v>500</v>
      </c>
      <c r="N18" s="95">
        <v>37364.269999999997</v>
      </c>
      <c r="O18" s="96">
        <f t="shared" si="1"/>
        <v>28741.74615384615</v>
      </c>
      <c r="P18" s="96">
        <f t="shared" si="2"/>
        <v>8622.5238461538465</v>
      </c>
      <c r="Q18" s="96"/>
      <c r="R18" s="97">
        <v>0</v>
      </c>
      <c r="S18" s="98">
        <f>SUM(N18*15%)</f>
        <v>5604.6404999999995</v>
      </c>
      <c r="T18" s="98"/>
      <c r="U18" s="99">
        <f t="shared" si="5"/>
        <v>56162.557999999997</v>
      </c>
    </row>
    <row r="19" spans="1:21" s="21" customFormat="1" ht="19.149999999999999" customHeight="1">
      <c r="A19" s="3" t="s">
        <v>156</v>
      </c>
      <c r="B19" s="3" t="s">
        <v>123</v>
      </c>
      <c r="C19" s="5">
        <v>4837</v>
      </c>
      <c r="D19" s="5">
        <v>64</v>
      </c>
      <c r="E19" s="5">
        <f>SUM(D19*3/100)</f>
        <v>1.92</v>
      </c>
      <c r="F19" s="93">
        <f t="shared" si="3"/>
        <v>62.08</v>
      </c>
      <c r="G19" s="3">
        <v>29110</v>
      </c>
      <c r="H19" s="5">
        <f t="shared" si="0"/>
        <v>291.10000000000002</v>
      </c>
      <c r="I19" s="100">
        <f t="shared" si="4"/>
        <v>18071.488000000001</v>
      </c>
      <c r="J19" s="106"/>
      <c r="K19" s="94">
        <f>500-500</f>
        <v>0</v>
      </c>
      <c r="L19" s="94">
        <v>800</v>
      </c>
      <c r="M19" s="94">
        <v>500</v>
      </c>
      <c r="N19" s="95">
        <v>36131.160000000003</v>
      </c>
      <c r="O19" s="96">
        <f t="shared" si="1"/>
        <v>27793.200000000001</v>
      </c>
      <c r="P19" s="96">
        <f t="shared" si="2"/>
        <v>8337.9600000000028</v>
      </c>
      <c r="Q19" s="96">
        <f>SUM(N19*10%)</f>
        <v>3613.1160000000004</v>
      </c>
      <c r="R19" s="97">
        <v>0</v>
      </c>
      <c r="S19" s="98">
        <f>SUM(N19*15%)</f>
        <v>5419.674</v>
      </c>
      <c r="T19" s="98"/>
      <c r="U19" s="99">
        <f t="shared" si="5"/>
        <v>64535.438000000002</v>
      </c>
    </row>
    <row r="20" spans="1:21" s="21" customFormat="1" ht="21" customHeight="1">
      <c r="A20" s="3" t="s">
        <v>157</v>
      </c>
      <c r="B20" s="3" t="s">
        <v>174</v>
      </c>
      <c r="C20" s="5">
        <v>3216</v>
      </c>
      <c r="D20" s="5">
        <v>28</v>
      </c>
      <c r="E20" s="5">
        <f>SUM(D20*3/100)</f>
        <v>0.84</v>
      </c>
      <c r="F20" s="93">
        <f t="shared" si="3"/>
        <v>27.16</v>
      </c>
      <c r="G20" s="3">
        <v>19402</v>
      </c>
      <c r="H20" s="5">
        <f t="shared" si="0"/>
        <v>194.02</v>
      </c>
      <c r="I20" s="100">
        <f t="shared" si="4"/>
        <v>5269.5832</v>
      </c>
      <c r="J20" s="94"/>
      <c r="K20" s="94">
        <v>500</v>
      </c>
      <c r="L20" s="94">
        <f>800</f>
        <v>800</v>
      </c>
      <c r="M20" s="94">
        <v>500</v>
      </c>
      <c r="N20" s="95">
        <v>29369.83</v>
      </c>
      <c r="O20" s="96">
        <f t="shared" si="1"/>
        <v>22592.176923076924</v>
      </c>
      <c r="P20" s="96">
        <f t="shared" si="2"/>
        <v>6777.6530769230776</v>
      </c>
      <c r="Q20" s="96"/>
      <c r="R20" s="97">
        <v>0</v>
      </c>
      <c r="S20" s="98">
        <f>SUM(N20*15%)</f>
        <v>4405.4745000000003</v>
      </c>
      <c r="T20" s="98"/>
      <c r="U20" s="99">
        <f>SUM(I20+J20+K20+L20+M20+N20+Q20+R20+S20+T20)-0.01</f>
        <v>40844.877700000005</v>
      </c>
    </row>
    <row r="21" spans="1:21" s="21" customFormat="1"/>
    <row r="22" spans="1:21" s="21" customFormat="1"/>
    <row r="23" spans="1:21" s="21" customFormat="1"/>
    <row r="24" spans="1:21" s="21" customFormat="1"/>
    <row r="25" spans="1:21" s="21" customFormat="1"/>
    <row r="26" spans="1:21" s="21" customFormat="1"/>
    <row r="27" spans="1:21" s="21" customFormat="1"/>
    <row r="28" spans="1:21" s="21" customFormat="1"/>
    <row r="29" spans="1:21" s="21" customFormat="1"/>
    <row r="30" spans="1:21" s="21" customFormat="1"/>
    <row r="31" spans="1:21" s="21" customFormat="1"/>
    <row r="32" spans="1:21" s="21" customFormat="1"/>
    <row r="33" s="21" customFormat="1"/>
    <row r="34" s="21" customFormat="1"/>
  </sheetData>
  <mergeCells count="9">
    <mergeCell ref="R4:R5"/>
    <mergeCell ref="S4:S5"/>
    <mergeCell ref="T4:T5"/>
    <mergeCell ref="C4:C5"/>
    <mergeCell ref="D4:D5"/>
    <mergeCell ref="E4:E5"/>
    <mergeCell ref="F4:F5"/>
    <mergeCell ref="N4:P4"/>
    <mergeCell ref="Q4:Q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8"/>
  <sheetViews>
    <sheetView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5"/>
  <cols>
    <col min="1" max="1" width="32.28515625" customWidth="1"/>
    <col min="2" max="2" width="16.140625" customWidth="1"/>
    <col min="3" max="9" width="0" hidden="1" customWidth="1"/>
    <col min="10" max="13" width="9.42578125" bestFit="1" customWidth="1"/>
    <col min="14" max="14" width="7.140625" customWidth="1"/>
    <col min="15" max="15" width="7" customWidth="1"/>
    <col min="16" max="16" width="9.7109375" customWidth="1"/>
    <col min="17" max="17" width="9.5703125" customWidth="1"/>
    <col min="18" max="18" width="8.85546875" customWidth="1"/>
    <col min="19" max="19" width="0.140625" customWidth="1"/>
    <col min="20" max="20" width="6.28515625" customWidth="1"/>
    <col min="21" max="21" width="10.5703125" bestFit="1" customWidth="1"/>
  </cols>
  <sheetData>
    <row r="1" spans="1:21" ht="18.75" customHeight="1">
      <c r="A1" s="1" t="s">
        <v>165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thickBot="1"/>
    <row r="3" spans="1:21" s="21" customFormat="1" ht="81" customHeight="1" thickBot="1">
      <c r="A3" s="89" t="s">
        <v>0</v>
      </c>
      <c r="B3" s="89" t="s">
        <v>1</v>
      </c>
      <c r="C3" s="107" t="s">
        <v>24</v>
      </c>
      <c r="D3" s="59"/>
      <c r="E3" s="107" t="s">
        <v>32</v>
      </c>
      <c r="F3" s="57"/>
      <c r="G3" s="57"/>
      <c r="H3" s="57"/>
      <c r="I3" s="59"/>
      <c r="J3" s="108" t="s">
        <v>11</v>
      </c>
      <c r="K3" s="90" t="s">
        <v>12</v>
      </c>
      <c r="L3" s="54" t="s">
        <v>13</v>
      </c>
      <c r="M3" s="54" t="s">
        <v>14</v>
      </c>
      <c r="N3" s="54" t="s">
        <v>71</v>
      </c>
      <c r="O3" s="54" t="s">
        <v>86</v>
      </c>
      <c r="P3" s="131" t="s">
        <v>108</v>
      </c>
      <c r="Q3" s="131"/>
      <c r="R3" s="131"/>
      <c r="S3" s="131" t="s">
        <v>112</v>
      </c>
      <c r="T3" s="129" t="s">
        <v>117</v>
      </c>
      <c r="U3" s="109" t="s">
        <v>15</v>
      </c>
    </row>
    <row r="4" spans="1:21" s="21" customFormat="1" ht="39.75" customHeight="1" thickBot="1">
      <c r="A4" s="91"/>
      <c r="B4" s="91"/>
      <c r="C4" s="57" t="s">
        <v>4</v>
      </c>
      <c r="D4" s="58" t="s">
        <v>25</v>
      </c>
      <c r="E4" s="58" t="s">
        <v>7</v>
      </c>
      <c r="F4" s="59" t="s">
        <v>29</v>
      </c>
      <c r="G4" s="59" t="s">
        <v>30</v>
      </c>
      <c r="H4" s="58" t="s">
        <v>26</v>
      </c>
      <c r="I4" s="58" t="s">
        <v>27</v>
      </c>
      <c r="J4" s="92"/>
      <c r="K4" s="92"/>
      <c r="L4" s="92"/>
      <c r="M4" s="92"/>
      <c r="N4" s="60"/>
      <c r="O4" s="60"/>
      <c r="P4" s="26" t="s">
        <v>109</v>
      </c>
      <c r="Q4" s="26" t="s">
        <v>110</v>
      </c>
      <c r="R4" s="26" t="s">
        <v>111</v>
      </c>
      <c r="S4" s="131"/>
      <c r="T4" s="130"/>
      <c r="U4" s="110"/>
    </row>
    <row r="5" spans="1:21" s="21" customFormat="1" ht="32.450000000000003" customHeight="1" thickBot="1">
      <c r="A5" s="3" t="s">
        <v>175</v>
      </c>
      <c r="B5" s="3" t="s">
        <v>162</v>
      </c>
      <c r="C5" s="111">
        <v>32</v>
      </c>
      <c r="D5" s="3">
        <v>8</v>
      </c>
      <c r="E5" s="3">
        <v>15</v>
      </c>
      <c r="F5" s="112">
        <v>8</v>
      </c>
      <c r="G5" s="3">
        <v>7</v>
      </c>
      <c r="H5" s="3">
        <v>10</v>
      </c>
      <c r="I5" s="3">
        <v>10</v>
      </c>
      <c r="J5" s="113">
        <v>41</v>
      </c>
      <c r="K5" s="3">
        <v>25647</v>
      </c>
      <c r="L5" s="5">
        <f>SUM(K5/100)</f>
        <v>256.47000000000003</v>
      </c>
      <c r="M5" s="5">
        <f>SUM(J5*L5)</f>
        <v>10515.27</v>
      </c>
      <c r="N5" s="94"/>
      <c r="O5" s="94">
        <v>0</v>
      </c>
      <c r="P5" s="95">
        <v>31545.33</v>
      </c>
      <c r="Q5" s="96">
        <f>SUM(P5/1.3)</f>
        <v>24265.638461538463</v>
      </c>
      <c r="R5" s="96">
        <f>SUM(P5-Q5)</f>
        <v>7279.6915384615386</v>
      </c>
      <c r="S5" s="97"/>
      <c r="T5" s="97"/>
      <c r="U5" s="114">
        <f>SUM(M5+N5+O5+P5+S5+T5)</f>
        <v>42060.600000000006</v>
      </c>
    </row>
    <row r="6" spans="1:21" s="21" customFormat="1" ht="40.9" customHeight="1">
      <c r="A6" s="4" t="s">
        <v>176</v>
      </c>
      <c r="B6" s="5" t="s">
        <v>28</v>
      </c>
      <c r="C6" s="115">
        <v>24</v>
      </c>
      <c r="D6" s="5">
        <v>10</v>
      </c>
      <c r="E6" s="5">
        <v>15</v>
      </c>
      <c r="F6" s="116">
        <v>8</v>
      </c>
      <c r="G6" s="5">
        <v>0</v>
      </c>
      <c r="H6" s="5">
        <v>10</v>
      </c>
      <c r="I6" s="5">
        <v>10</v>
      </c>
      <c r="J6" s="113">
        <v>63</v>
      </c>
      <c r="K6" s="5">
        <v>13812</v>
      </c>
      <c r="L6" s="5">
        <f>SUM(K6/100)</f>
        <v>138.12</v>
      </c>
      <c r="M6" s="5">
        <f>SUM(J6*L6)</f>
        <v>8701.56</v>
      </c>
      <c r="N6" s="97"/>
      <c r="O6" s="97">
        <v>0</v>
      </c>
      <c r="P6" s="96">
        <v>31067.79</v>
      </c>
      <c r="Q6" s="96">
        <f>SUM(P6/1.3)</f>
        <v>23898.3</v>
      </c>
      <c r="R6" s="96">
        <f>SUM(P6-Q6)</f>
        <v>7169.4900000000016</v>
      </c>
      <c r="S6" s="97"/>
      <c r="T6" s="96"/>
      <c r="U6" s="114">
        <f>SUM(M6+N6+O6+P6+S6+T6)</f>
        <v>39769.35</v>
      </c>
    </row>
    <row r="7" spans="1:21" s="21" customFormat="1" ht="46.9" customHeight="1">
      <c r="A7" s="5" t="s">
        <v>177</v>
      </c>
      <c r="B7" s="117" t="s">
        <v>120</v>
      </c>
      <c r="C7" s="111">
        <v>32</v>
      </c>
      <c r="D7" s="3">
        <v>10</v>
      </c>
      <c r="E7" s="3">
        <v>15</v>
      </c>
      <c r="F7" s="112">
        <v>8</v>
      </c>
      <c r="G7" s="3">
        <v>0</v>
      </c>
      <c r="H7" s="3">
        <v>10</v>
      </c>
      <c r="I7" s="3">
        <v>10</v>
      </c>
      <c r="J7" s="113">
        <v>65</v>
      </c>
      <c r="K7" s="3">
        <v>16380</v>
      </c>
      <c r="L7" s="5">
        <f>SUM(K7/100)</f>
        <v>163.80000000000001</v>
      </c>
      <c r="M7" s="100">
        <f>SUM(J7*L7)</f>
        <v>10647</v>
      </c>
      <c r="N7" s="94"/>
      <c r="O7" s="94">
        <v>500</v>
      </c>
      <c r="P7" s="95">
        <v>33113.61</v>
      </c>
      <c r="Q7" s="96">
        <f>SUM(P7/1.3)</f>
        <v>25472.007692307692</v>
      </c>
      <c r="R7" s="96">
        <f>SUM(P7-Q7)</f>
        <v>7641.6023076923084</v>
      </c>
      <c r="S7" s="97"/>
      <c r="T7" s="97"/>
      <c r="U7" s="114">
        <f>SUM(M7+N7+O7+P7+S7+T7)</f>
        <v>44260.61</v>
      </c>
    </row>
    <row r="8" spans="1:21">
      <c r="J8" s="2"/>
    </row>
  </sheetData>
  <mergeCells count="3">
    <mergeCell ref="P3:R3"/>
    <mergeCell ref="S3:S4"/>
    <mergeCell ref="T3:T4"/>
  </mergeCells>
  <phoneticPr fontId="0" type="noConversion"/>
  <pageMargins left="0.7" right="0.7" top="0.75" bottom="0.75" header="0.3" footer="0.3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"/>
  <sheetViews>
    <sheetView view="pageBreakPreview" zoomScale="11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3.5703125" customWidth="1"/>
    <col min="3" max="3" width="9.85546875" hidden="1" customWidth="1"/>
    <col min="4" max="7" width="0" hidden="1" customWidth="1"/>
    <col min="8" max="8" width="6" customWidth="1"/>
    <col min="9" max="9" width="6.5703125" customWidth="1"/>
    <col min="10" max="10" width="7.28515625" customWidth="1"/>
    <col min="11" max="11" width="10.42578125" customWidth="1"/>
    <col min="12" max="12" width="9.7109375" customWidth="1"/>
    <col min="13" max="13" width="6" customWidth="1"/>
    <col min="14" max="14" width="6.28515625" customWidth="1"/>
    <col min="16" max="16" width="9.28515625" customWidth="1"/>
    <col min="17" max="17" width="11.7109375" customWidth="1"/>
    <col min="18" max="18" width="7.5703125" customWidth="1"/>
    <col min="19" max="19" width="8.5703125" customWidth="1"/>
    <col min="20" max="20" width="9.42578125" customWidth="1"/>
  </cols>
  <sheetData>
    <row r="1" spans="1:20" ht="48.75" customHeight="1">
      <c r="A1" s="1" t="s">
        <v>164</v>
      </c>
      <c r="B1" s="1"/>
      <c r="C1" s="1"/>
      <c r="D1" s="1"/>
      <c r="E1" s="1"/>
      <c r="R1" s="1"/>
      <c r="S1" s="1"/>
      <c r="T1" s="1"/>
    </row>
    <row r="2" spans="1:20" ht="47.25" customHeight="1" thickBot="1"/>
    <row r="3" spans="1:20" s="21" customFormat="1" ht="87" customHeight="1" thickBot="1">
      <c r="A3" s="89" t="s">
        <v>0</v>
      </c>
      <c r="B3" s="89" t="s">
        <v>1</v>
      </c>
      <c r="C3" s="107" t="s">
        <v>24</v>
      </c>
      <c r="D3" s="107" t="s">
        <v>31</v>
      </c>
      <c r="E3" s="59"/>
      <c r="F3" s="118" t="s">
        <v>35</v>
      </c>
      <c r="G3" s="57"/>
      <c r="H3" s="108" t="s">
        <v>11</v>
      </c>
      <c r="I3" s="90" t="s">
        <v>12</v>
      </c>
      <c r="J3" s="54" t="s">
        <v>13</v>
      </c>
      <c r="K3" s="54" t="s">
        <v>14</v>
      </c>
      <c r="L3" s="54" t="s">
        <v>79</v>
      </c>
      <c r="M3" s="54" t="s">
        <v>84</v>
      </c>
      <c r="N3" s="54" t="s">
        <v>86</v>
      </c>
      <c r="O3" s="131" t="s">
        <v>108</v>
      </c>
      <c r="P3" s="131"/>
      <c r="Q3" s="131"/>
      <c r="R3" s="131" t="s">
        <v>112</v>
      </c>
      <c r="S3" s="129" t="s">
        <v>121</v>
      </c>
      <c r="T3" s="109" t="s">
        <v>15</v>
      </c>
    </row>
    <row r="4" spans="1:20" s="21" customFormat="1" ht="41.25" customHeight="1" thickBot="1">
      <c r="A4" s="91"/>
      <c r="B4" s="91"/>
      <c r="C4" s="57" t="s">
        <v>4</v>
      </c>
      <c r="D4" s="58" t="s">
        <v>33</v>
      </c>
      <c r="E4" s="59" t="s">
        <v>34</v>
      </c>
      <c r="F4" s="58" t="s">
        <v>36</v>
      </c>
      <c r="G4" s="58" t="s">
        <v>37</v>
      </c>
      <c r="H4" s="92"/>
      <c r="I4" s="92"/>
      <c r="J4" s="92"/>
      <c r="K4" s="92"/>
      <c r="L4" s="92"/>
      <c r="M4" s="60"/>
      <c r="N4" s="60"/>
      <c r="O4" s="26" t="s">
        <v>109</v>
      </c>
      <c r="P4" s="26" t="s">
        <v>110</v>
      </c>
      <c r="Q4" s="26" t="s">
        <v>111</v>
      </c>
      <c r="R4" s="131"/>
      <c r="S4" s="130"/>
      <c r="T4" s="110"/>
    </row>
    <row r="5" spans="1:20" s="21" customFormat="1" ht="27" customHeight="1">
      <c r="A5" s="119" t="s">
        <v>178</v>
      </c>
      <c r="B5" s="5" t="s">
        <v>107</v>
      </c>
      <c r="C5" s="115">
        <v>8</v>
      </c>
      <c r="D5" s="5">
        <v>0</v>
      </c>
      <c r="E5" s="116">
        <v>0</v>
      </c>
      <c r="F5" s="5">
        <v>0</v>
      </c>
      <c r="G5" s="5">
        <v>0</v>
      </c>
      <c r="H5" s="113">
        <v>60</v>
      </c>
      <c r="I5" s="5">
        <v>27422</v>
      </c>
      <c r="J5" s="5">
        <f>SUM(I5/100)</f>
        <v>274.22000000000003</v>
      </c>
      <c r="K5" s="5">
        <f>SUM(H5*J5)</f>
        <v>16453.2</v>
      </c>
      <c r="L5" s="5">
        <v>0</v>
      </c>
      <c r="M5" s="97">
        <v>0</v>
      </c>
      <c r="N5" s="97">
        <v>500</v>
      </c>
      <c r="O5" s="96">
        <v>36443.58</v>
      </c>
      <c r="P5" s="96">
        <f>SUM(O5/1.3)</f>
        <v>28033.523076923077</v>
      </c>
      <c r="Q5" s="96">
        <f>SUM(O5-P5)</f>
        <v>8410.0569230769252</v>
      </c>
      <c r="R5" s="97"/>
      <c r="S5" s="96">
        <f>SUM(O5*15%)-0.01</f>
        <v>5466.527</v>
      </c>
      <c r="T5" s="114">
        <f>SUM(K5+L5+M5+N5+O5+R5+S5)</f>
        <v>58863.307000000001</v>
      </c>
    </row>
    <row r="8" spans="1:20">
      <c r="R8" t="s">
        <v>83</v>
      </c>
    </row>
  </sheetData>
  <mergeCells count="3">
    <mergeCell ref="O3:Q3"/>
    <mergeCell ref="R3:R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"/>
  <sheetViews>
    <sheetView view="pageBreakPreview" zoomScaleNormal="100" zoomScaleSheetLayoutView="100" workbookViewId="0">
      <selection activeCell="AF1" sqref="AF1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8" width="7.7109375" customWidth="1"/>
    <col min="29" max="29" width="9.28515625" bestFit="1" customWidth="1"/>
    <col min="30" max="30" width="9" customWidth="1"/>
    <col min="31" max="31" width="6.7109375" customWidth="1"/>
    <col min="32" max="32" width="8.28515625" customWidth="1"/>
    <col min="33" max="33" width="9.28515625" customWidth="1"/>
    <col min="34" max="34" width="7.42578125" customWidth="1"/>
    <col min="35" max="35" width="7.85546875" customWidth="1"/>
    <col min="36" max="36" width="7.42578125" customWidth="1"/>
    <col min="37" max="37" width="7.85546875" customWidth="1"/>
    <col min="38" max="38" width="6.7109375" hidden="1" customWidth="1"/>
    <col min="39" max="39" width="10.42578125" bestFit="1" customWidth="1"/>
  </cols>
  <sheetData>
    <row r="1" spans="1:39" ht="36.75" customHeight="1">
      <c r="A1" s="1" t="s">
        <v>164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AF1" s="1"/>
      <c r="AG1" s="1"/>
      <c r="AH1" s="1"/>
      <c r="AI1" s="1"/>
      <c r="AJ1" s="1"/>
      <c r="AK1" s="1"/>
      <c r="AL1" s="1"/>
      <c r="AM1" s="1"/>
    </row>
    <row r="2" spans="1:39" ht="15.75" customHeight="1" thickBot="1"/>
    <row r="3" spans="1:39" s="21" customFormat="1" ht="82.5" customHeight="1" thickBot="1">
      <c r="A3" s="89" t="s">
        <v>0</v>
      </c>
      <c r="B3" s="89" t="s">
        <v>1</v>
      </c>
      <c r="C3" s="107" t="s">
        <v>24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07" t="s">
        <v>62</v>
      </c>
      <c r="S3" s="57"/>
      <c r="T3" s="57"/>
      <c r="U3" s="57"/>
      <c r="V3" s="57"/>
      <c r="W3" s="57"/>
      <c r="X3" s="57"/>
      <c r="Y3" s="57"/>
      <c r="Z3" s="59"/>
      <c r="AA3" s="108" t="s">
        <v>11</v>
      </c>
      <c r="AB3" s="90" t="s">
        <v>12</v>
      </c>
      <c r="AC3" s="54" t="s">
        <v>13</v>
      </c>
      <c r="AD3" s="54" t="s">
        <v>14</v>
      </c>
      <c r="AE3" s="54" t="s">
        <v>70</v>
      </c>
      <c r="AF3" s="131" t="s">
        <v>108</v>
      </c>
      <c r="AG3" s="131"/>
      <c r="AH3" s="131"/>
      <c r="AI3" s="131" t="s">
        <v>112</v>
      </c>
      <c r="AJ3" s="53" t="s">
        <v>86</v>
      </c>
      <c r="AK3" s="145" t="s">
        <v>121</v>
      </c>
      <c r="AL3" s="53" t="s">
        <v>117</v>
      </c>
      <c r="AM3" s="109" t="s">
        <v>15</v>
      </c>
    </row>
    <row r="4" spans="1:39" s="21" customFormat="1" ht="54" customHeight="1" thickBot="1">
      <c r="A4" s="91"/>
      <c r="B4" s="91"/>
      <c r="C4" s="58" t="s">
        <v>4</v>
      </c>
      <c r="D4" s="58" t="s">
        <v>39</v>
      </c>
      <c r="E4" s="58" t="s">
        <v>40</v>
      </c>
      <c r="F4" s="58" t="s">
        <v>41</v>
      </c>
      <c r="G4" s="59" t="s">
        <v>42</v>
      </c>
      <c r="H4" s="58" t="s">
        <v>43</v>
      </c>
      <c r="I4" s="58" t="s">
        <v>44</v>
      </c>
      <c r="J4" s="58" t="s">
        <v>45</v>
      </c>
      <c r="K4" s="58" t="s">
        <v>46</v>
      </c>
      <c r="L4" s="58" t="s">
        <v>47</v>
      </c>
      <c r="M4" s="58" t="s">
        <v>48</v>
      </c>
      <c r="N4" s="59" t="s">
        <v>49</v>
      </c>
      <c r="O4" s="58" t="s">
        <v>61</v>
      </c>
      <c r="P4" s="58" t="s">
        <v>50</v>
      </c>
      <c r="Q4" s="58" t="s">
        <v>51</v>
      </c>
      <c r="R4" s="58" t="s">
        <v>52</v>
      </c>
      <c r="S4" s="58" t="s">
        <v>53</v>
      </c>
      <c r="T4" s="58" t="s">
        <v>54</v>
      </c>
      <c r="U4" s="58" t="s">
        <v>55</v>
      </c>
      <c r="V4" s="58" t="s">
        <v>56</v>
      </c>
      <c r="W4" s="58" t="s">
        <v>57</v>
      </c>
      <c r="X4" s="58" t="s">
        <v>58</v>
      </c>
      <c r="Y4" s="58" t="s">
        <v>59</v>
      </c>
      <c r="Z4" s="58" t="s">
        <v>60</v>
      </c>
      <c r="AA4" s="92"/>
      <c r="AB4" s="92"/>
      <c r="AC4" s="92"/>
      <c r="AD4" s="92"/>
      <c r="AE4" s="60"/>
      <c r="AF4" s="26" t="s">
        <v>109</v>
      </c>
      <c r="AG4" s="26" t="s">
        <v>110</v>
      </c>
      <c r="AH4" s="26" t="s">
        <v>111</v>
      </c>
      <c r="AI4" s="131"/>
      <c r="AJ4" s="60"/>
      <c r="AK4" s="146"/>
      <c r="AL4" s="60"/>
      <c r="AM4" s="110"/>
    </row>
    <row r="5" spans="1:39" s="21" customFormat="1" ht="25.5">
      <c r="A5" s="119" t="s">
        <v>38</v>
      </c>
      <c r="B5" s="120" t="s">
        <v>159</v>
      </c>
      <c r="C5" s="121">
        <v>16</v>
      </c>
      <c r="D5" s="121">
        <v>2</v>
      </c>
      <c r="E5" s="122">
        <v>2</v>
      </c>
      <c r="F5" s="121">
        <v>2</v>
      </c>
      <c r="G5" s="122">
        <v>0</v>
      </c>
      <c r="H5" s="122">
        <v>0</v>
      </c>
      <c r="I5" s="122">
        <v>3</v>
      </c>
      <c r="J5" s="122">
        <v>2</v>
      </c>
      <c r="K5" s="122">
        <v>0</v>
      </c>
      <c r="L5" s="122">
        <v>2</v>
      </c>
      <c r="M5" s="121">
        <v>1</v>
      </c>
      <c r="N5" s="122">
        <v>0</v>
      </c>
      <c r="O5" s="122">
        <v>2</v>
      </c>
      <c r="P5" s="122">
        <v>2</v>
      </c>
      <c r="Q5" s="123">
        <v>2</v>
      </c>
      <c r="R5" s="121">
        <v>2</v>
      </c>
      <c r="S5" s="124">
        <v>1</v>
      </c>
      <c r="T5" s="124">
        <v>2</v>
      </c>
      <c r="U5" s="124">
        <v>1</v>
      </c>
      <c r="V5" s="124">
        <v>1</v>
      </c>
      <c r="W5" s="124">
        <v>2</v>
      </c>
      <c r="X5" s="124">
        <v>0</v>
      </c>
      <c r="Y5" s="124">
        <v>2</v>
      </c>
      <c r="Z5" s="124">
        <v>4</v>
      </c>
      <c r="AA5" s="125">
        <v>61</v>
      </c>
      <c r="AB5" s="121">
        <v>32750</v>
      </c>
      <c r="AC5" s="121">
        <f>SUM(AB5/100)</f>
        <v>327.5</v>
      </c>
      <c r="AD5" s="126">
        <f>SUM(AA5*AC5)</f>
        <v>19977.5</v>
      </c>
      <c r="AE5" s="127"/>
      <c r="AF5" s="128">
        <v>26778.66</v>
      </c>
      <c r="AG5" s="128">
        <f>SUM(AF5/1.3)</f>
        <v>20598.969230769231</v>
      </c>
      <c r="AH5" s="128">
        <f>SUM(AF5-AG5)</f>
        <v>6179.6907692307686</v>
      </c>
      <c r="AI5" s="127"/>
      <c r="AJ5" s="127">
        <v>500</v>
      </c>
      <c r="AK5" s="127">
        <f>SUM(AF5*15%)</f>
        <v>4016.799</v>
      </c>
      <c r="AL5" s="128"/>
      <c r="AM5" s="114">
        <f>SUM(AD5+AE5+AF5+AI5+AJ5+AL5+AK5)</f>
        <v>51272.959000000003</v>
      </c>
    </row>
  </sheetData>
  <mergeCells count="3">
    <mergeCell ref="AF3:AH3"/>
    <mergeCell ref="AI3:AI4"/>
    <mergeCell ref="AK3:AK4"/>
  </mergeCells>
  <phoneticPr fontId="0" type="noConversion"/>
  <pageMargins left="0.7" right="0.7" top="0.75" bottom="0.75" header="0.3" footer="0.3"/>
  <pageSetup paperSize="9" scale="67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tabSelected="1" view="pageBreakPreview" zoomScale="85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" sqref="AI1"/>
    </sheetView>
  </sheetViews>
  <sheetFormatPr defaultRowHeight="15"/>
  <cols>
    <col min="1" max="1" width="29.710937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1.5703125" customWidth="1"/>
    <col min="31" max="31" width="10.140625" customWidth="1"/>
    <col min="32" max="33" width="11.42578125" customWidth="1"/>
    <col min="34" max="34" width="9.28515625" bestFit="1" customWidth="1"/>
    <col min="35" max="35" width="10.5703125" bestFit="1" customWidth="1"/>
    <col min="36" max="38" width="10.5703125" customWidth="1"/>
    <col min="39" max="39" width="10.7109375" customWidth="1"/>
    <col min="40" max="40" width="11.85546875" customWidth="1"/>
  </cols>
  <sheetData>
    <row r="1" spans="1:40" ht="18.75">
      <c r="A1" s="7" t="s">
        <v>165</v>
      </c>
      <c r="B1" s="7"/>
      <c r="C1" s="7"/>
      <c r="D1" s="7"/>
      <c r="E1" s="7"/>
      <c r="F1" s="8"/>
      <c r="G1" s="8"/>
      <c r="H1" s="8"/>
      <c r="I1" s="8"/>
      <c r="J1" s="8"/>
      <c r="K1" s="8"/>
      <c r="L1" s="7"/>
      <c r="M1" s="7"/>
      <c r="N1" s="7"/>
      <c r="O1" s="7"/>
      <c r="P1" s="7"/>
      <c r="Q1" s="7"/>
      <c r="R1" s="7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7"/>
      <c r="AJ1" s="7"/>
      <c r="AK1" s="7"/>
      <c r="AL1" s="7"/>
      <c r="AM1" s="7"/>
      <c r="AN1" s="7"/>
    </row>
    <row r="2" spans="1:40" ht="15.7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21" customFormat="1" ht="77.25" customHeight="1" thickBot="1">
      <c r="A3" s="11" t="s">
        <v>0</v>
      </c>
      <c r="B3" s="11" t="s">
        <v>1</v>
      </c>
      <c r="C3" s="12" t="s">
        <v>24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2" t="s">
        <v>62</v>
      </c>
      <c r="S3" s="14"/>
      <c r="T3" s="14"/>
      <c r="U3" s="14"/>
      <c r="V3" s="14"/>
      <c r="W3" s="14"/>
      <c r="X3" s="14"/>
      <c r="Y3" s="14"/>
      <c r="Z3" s="15"/>
      <c r="AA3" s="16" t="s">
        <v>11</v>
      </c>
      <c r="AB3" s="17" t="s">
        <v>12</v>
      </c>
      <c r="AC3" s="18" t="s">
        <v>13</v>
      </c>
      <c r="AD3" s="19" t="s">
        <v>14</v>
      </c>
      <c r="AE3" s="147" t="s">
        <v>70</v>
      </c>
      <c r="AF3" s="147"/>
      <c r="AG3" s="147" t="s">
        <v>125</v>
      </c>
      <c r="AH3" s="147"/>
      <c r="AI3" s="150" t="s">
        <v>108</v>
      </c>
      <c r="AJ3" s="131"/>
      <c r="AK3" s="131"/>
      <c r="AL3" s="148" t="s">
        <v>127</v>
      </c>
      <c r="AM3" s="151" t="s">
        <v>126</v>
      </c>
      <c r="AN3" s="20" t="s">
        <v>15</v>
      </c>
    </row>
    <row r="4" spans="1:40" s="21" customFormat="1" ht="40.5" customHeight="1" thickBot="1">
      <c r="A4" s="22"/>
      <c r="B4" s="22"/>
      <c r="C4" s="23" t="s">
        <v>4</v>
      </c>
      <c r="D4" s="23" t="s">
        <v>87</v>
      </c>
      <c r="E4" s="23" t="s">
        <v>88</v>
      </c>
      <c r="F4" s="23" t="s">
        <v>89</v>
      </c>
      <c r="G4" s="15" t="s">
        <v>90</v>
      </c>
      <c r="H4" s="23" t="s">
        <v>43</v>
      </c>
      <c r="I4" s="23" t="s">
        <v>44</v>
      </c>
      <c r="J4" s="23" t="s">
        <v>45</v>
      </c>
      <c r="K4" s="23" t="s">
        <v>91</v>
      </c>
      <c r="L4" s="23" t="s">
        <v>92</v>
      </c>
      <c r="M4" s="23" t="s">
        <v>93</v>
      </c>
      <c r="N4" s="15" t="s">
        <v>94</v>
      </c>
      <c r="O4" s="23" t="s">
        <v>95</v>
      </c>
      <c r="P4" s="23" t="s">
        <v>96</v>
      </c>
      <c r="Q4" s="23" t="s">
        <v>97</v>
      </c>
      <c r="R4" s="23" t="s">
        <v>98</v>
      </c>
      <c r="S4" s="23" t="s">
        <v>99</v>
      </c>
      <c r="T4" s="23" t="s">
        <v>100</v>
      </c>
      <c r="U4" s="23" t="s">
        <v>101</v>
      </c>
      <c r="V4" s="23" t="s">
        <v>102</v>
      </c>
      <c r="W4" s="23" t="s">
        <v>103</v>
      </c>
      <c r="X4" s="23" t="s">
        <v>104</v>
      </c>
      <c r="Y4" s="23" t="s">
        <v>105</v>
      </c>
      <c r="Z4" s="23" t="s">
        <v>106</v>
      </c>
      <c r="AA4" s="24"/>
      <c r="AB4" s="24"/>
      <c r="AC4" s="24"/>
      <c r="AD4" s="24"/>
      <c r="AE4" s="25"/>
      <c r="AF4" s="25"/>
      <c r="AG4" s="25"/>
      <c r="AH4" s="25"/>
      <c r="AI4" s="26" t="s">
        <v>109</v>
      </c>
      <c r="AJ4" s="26" t="s">
        <v>110</v>
      </c>
      <c r="AK4" s="26" t="s">
        <v>111</v>
      </c>
      <c r="AL4" s="149"/>
      <c r="AM4" s="151"/>
      <c r="AN4" s="20"/>
    </row>
    <row r="5" spans="1:40" s="21" customFormat="1" ht="15.75" hidden="1">
      <c r="A5" s="27" t="s">
        <v>73</v>
      </c>
      <c r="B5" s="28"/>
      <c r="C5" s="29">
        <v>16</v>
      </c>
      <c r="D5" s="29">
        <v>2</v>
      </c>
      <c r="E5" s="30">
        <v>2</v>
      </c>
      <c r="F5" s="29">
        <v>2</v>
      </c>
      <c r="G5" s="30">
        <v>0</v>
      </c>
      <c r="H5" s="30">
        <v>0</v>
      </c>
      <c r="I5" s="30">
        <v>3</v>
      </c>
      <c r="J5" s="30">
        <v>2</v>
      </c>
      <c r="K5" s="30">
        <v>0</v>
      </c>
      <c r="L5" s="30">
        <v>2</v>
      </c>
      <c r="M5" s="29">
        <v>1</v>
      </c>
      <c r="N5" s="30">
        <v>0</v>
      </c>
      <c r="O5" s="30">
        <v>2</v>
      </c>
      <c r="P5" s="30">
        <v>2</v>
      </c>
      <c r="Q5" s="31">
        <v>2</v>
      </c>
      <c r="R5" s="29">
        <v>2</v>
      </c>
      <c r="S5" s="32">
        <v>1</v>
      </c>
      <c r="T5" s="32">
        <v>2</v>
      </c>
      <c r="U5" s="32">
        <v>1</v>
      </c>
      <c r="V5" s="32">
        <v>1</v>
      </c>
      <c r="W5" s="32">
        <v>2</v>
      </c>
      <c r="X5" s="32">
        <v>0</v>
      </c>
      <c r="Y5" s="32">
        <v>2</v>
      </c>
      <c r="Z5" s="32">
        <v>4</v>
      </c>
      <c r="AA5" s="33"/>
      <c r="AB5" s="34">
        <v>3288</v>
      </c>
      <c r="AC5" s="34">
        <f>SUM(AB5/100)</f>
        <v>32.880000000000003</v>
      </c>
      <c r="AD5" s="34">
        <f>SUM(AA5*AC5)</f>
        <v>0</v>
      </c>
      <c r="AE5" s="35"/>
      <c r="AF5" s="35"/>
      <c r="AG5" s="35"/>
      <c r="AH5" s="35">
        <v>0</v>
      </c>
      <c r="AI5" s="36"/>
      <c r="AJ5" s="36">
        <f>SUM(AI5/1.3)</f>
        <v>0</v>
      </c>
      <c r="AK5" s="36">
        <f>SUM(AI5-AJ5)</f>
        <v>0</v>
      </c>
      <c r="AL5" s="37"/>
      <c r="AM5" s="38"/>
      <c r="AN5" s="39">
        <f>SUM(AD5+AF5+AH5+AI5+AM5)</f>
        <v>0</v>
      </c>
    </row>
    <row r="6" spans="1:40" s="21" customFormat="1" ht="40.15" hidden="1" customHeight="1">
      <c r="A6" s="40" t="s">
        <v>74</v>
      </c>
      <c r="B6" s="40" t="s">
        <v>128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0"/>
      <c r="AB6" s="36"/>
      <c r="AC6" s="42">
        <f>SUM(AB6/100)</f>
        <v>0</v>
      </c>
      <c r="AD6" s="42">
        <f>SUM(AA6*AC6)</f>
        <v>0</v>
      </c>
      <c r="AE6" s="37">
        <v>30</v>
      </c>
      <c r="AF6" s="43">
        <f>SUM(AI6*AE6)/100</f>
        <v>0</v>
      </c>
      <c r="AG6" s="44">
        <v>60</v>
      </c>
      <c r="AH6" s="44">
        <f>SUM(AI6*AG6)/100</f>
        <v>0</v>
      </c>
      <c r="AI6" s="36"/>
      <c r="AJ6" s="36">
        <f>SUM(AI6/1.3)</f>
        <v>0</v>
      </c>
      <c r="AK6" s="36">
        <f>SUM(AI6-AJ6)</f>
        <v>0</v>
      </c>
      <c r="AL6" s="36">
        <f>SUM(AI6*25/100)</f>
        <v>0</v>
      </c>
      <c r="AM6" s="45">
        <f>SUM(AI6*25/100)</f>
        <v>0</v>
      </c>
      <c r="AN6" s="39">
        <f>SUM(AD6+AF6+AH6+AI6+AM6+AL6)</f>
        <v>0</v>
      </c>
    </row>
    <row r="7" spans="1:40" s="21" customFormat="1" ht="47.25" hidden="1">
      <c r="A7" s="46" t="s">
        <v>75</v>
      </c>
      <c r="B7" s="40" t="s">
        <v>77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0">
        <v>0</v>
      </c>
      <c r="AB7" s="47"/>
      <c r="AC7" s="34">
        <f>SUM(AB7/100)</f>
        <v>0</v>
      </c>
      <c r="AD7" s="34">
        <f>SUM(AA7*AC7)</f>
        <v>0</v>
      </c>
      <c r="AE7" s="48"/>
      <c r="AF7" s="47">
        <f>1000-1000</f>
        <v>0</v>
      </c>
      <c r="AG7" s="49"/>
      <c r="AH7" s="49">
        <v>0</v>
      </c>
      <c r="AI7" s="36">
        <v>13333.11</v>
      </c>
      <c r="AJ7" s="36">
        <f>SUM(AI7/1.3)</f>
        <v>10256.238461538462</v>
      </c>
      <c r="AK7" s="36">
        <f>SUM(AI7-AJ7)</f>
        <v>3076.8715384615389</v>
      </c>
      <c r="AL7" s="36"/>
      <c r="AM7" s="50"/>
      <c r="AN7" s="39">
        <f>SUM(AD7+AF7+AH7+AI7+AM7)</f>
        <v>13333.11</v>
      </c>
    </row>
    <row r="8" spans="1:40" s="21" customFormat="1" ht="40.15" customHeight="1">
      <c r="A8" s="46" t="s">
        <v>76</v>
      </c>
      <c r="B8" s="40" t="s">
        <v>144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0">
        <v>81</v>
      </c>
      <c r="AB8" s="47">
        <v>8914</v>
      </c>
      <c r="AC8" s="34">
        <f>SUM(AB8/100)</f>
        <v>89.14</v>
      </c>
      <c r="AD8" s="34">
        <f>SUM(AA8*AC8)</f>
        <v>7220.34</v>
      </c>
      <c r="AE8" s="48"/>
      <c r="AF8" s="47"/>
      <c r="AG8" s="49"/>
      <c r="AH8" s="49">
        <v>0</v>
      </c>
      <c r="AI8" s="36">
        <v>19322.78</v>
      </c>
      <c r="AJ8" s="36">
        <f>SUM(AI8/1.3)</f>
        <v>14863.676923076922</v>
      </c>
      <c r="AK8" s="36">
        <f>SUM(AI8-AJ8)</f>
        <v>4459.1030769230765</v>
      </c>
      <c r="AL8" s="36"/>
      <c r="AM8" s="47"/>
      <c r="AN8" s="51">
        <f>SUM(AD8+AF8+AH8+AI8+AM8)</f>
        <v>26543.119999999999</v>
      </c>
    </row>
    <row r="15" spans="1:40">
      <c r="B15" s="10"/>
    </row>
    <row r="16" spans="1:40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</sheetData>
  <mergeCells count="5">
    <mergeCell ref="AE3:AF3"/>
    <mergeCell ref="AG3:AH3"/>
    <mergeCell ref="AL3:AL4"/>
    <mergeCell ref="AI3:AK3"/>
    <mergeCell ref="AM3:A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2018-05-30T05:22:12Z</cp:lastPrinted>
  <dcterms:created xsi:type="dcterms:W3CDTF">2014-07-06T03:46:52Z</dcterms:created>
  <dcterms:modified xsi:type="dcterms:W3CDTF">2021-08-01T12:55:37Z</dcterms:modified>
</cp:coreProperties>
</file>