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'БОБ+ЦБ'!$A$1:$AN$12</definedName>
    <definedName name="_xlnm.Print_Area" localSheetId="4">'Детский дом (2)'!$A$1:$AN$5</definedName>
    <definedName name="_xlnm.Print_Area" localSheetId="2">'ДОД (2)'!$A$1:$U$6</definedName>
    <definedName name="_xlnm.Print_Area" localSheetId="0">'ДОУ (2)'!$A$1:$AC$19</definedName>
    <definedName name="_xlnm.Print_Area" localSheetId="3">коррекц.!$A$1:$U$8</definedName>
    <definedName name="_xlnm.Print_Area" localSheetId="1">'ШКОЛЫ (2)'!$A$2:$V$20</definedName>
  </definedNames>
  <calcPr calcId="125725"/>
</workbook>
</file>

<file path=xl/calcChain.xml><?xml version="1.0" encoding="utf-8"?>
<calcChain xmlns="http://schemas.openxmlformats.org/spreadsheetml/2006/main">
  <c r="H7" i="8"/>
  <c r="I7" s="1"/>
  <c r="D7"/>
  <c r="F7" s="1"/>
  <c r="H8"/>
  <c r="D8"/>
  <c r="E8" s="1"/>
  <c r="F8" s="1"/>
  <c r="I8" s="1"/>
  <c r="S8"/>
  <c r="H9"/>
  <c r="D9"/>
  <c r="K9"/>
  <c r="S9"/>
  <c r="H10"/>
  <c r="D10"/>
  <c r="H11"/>
  <c r="I11" s="1"/>
  <c r="H12"/>
  <c r="D12"/>
  <c r="E12" s="1"/>
  <c r="H13"/>
  <c r="D13"/>
  <c r="E13"/>
  <c r="F13" s="1"/>
  <c r="I13" s="1"/>
  <c r="S13"/>
  <c r="H14"/>
  <c r="D14"/>
  <c r="E14"/>
  <c r="F14"/>
  <c r="I14" s="1"/>
  <c r="T14"/>
  <c r="H15"/>
  <c r="D15"/>
  <c r="E15" s="1"/>
  <c r="T15"/>
  <c r="H16"/>
  <c r="D16"/>
  <c r="S16"/>
  <c r="H17"/>
  <c r="D17"/>
  <c r="E17"/>
  <c r="F17" s="1"/>
  <c r="I17" s="1"/>
  <c r="L17"/>
  <c r="S17"/>
  <c r="H18"/>
  <c r="D18"/>
  <c r="E18"/>
  <c r="F18" s="1"/>
  <c r="I18" s="1"/>
  <c r="S18"/>
  <c r="H19"/>
  <c r="D19"/>
  <c r="E19"/>
  <c r="F19"/>
  <c r="I19" s="1"/>
  <c r="K19"/>
  <c r="S19"/>
  <c r="H20"/>
  <c r="D20"/>
  <c r="E20" s="1"/>
  <c r="F20" s="1"/>
  <c r="I20" s="1"/>
  <c r="L20"/>
  <c r="S20"/>
  <c r="H6"/>
  <c r="D6"/>
  <c r="F6" s="1"/>
  <c r="I6" s="1"/>
  <c r="T6" i="9"/>
  <c r="S5" i="4"/>
  <c r="AA8" i="6"/>
  <c r="Q19" i="8"/>
  <c r="Q14"/>
  <c r="J6" i="9"/>
  <c r="J5"/>
  <c r="D11" i="8"/>
  <c r="H5" i="4"/>
  <c r="AA5" i="10"/>
  <c r="N11" i="7"/>
  <c r="O11" s="1"/>
  <c r="Y17"/>
  <c r="J19"/>
  <c r="J9"/>
  <c r="J5"/>
  <c r="K5" s="1"/>
  <c r="L5" s="1"/>
  <c r="O5" s="1"/>
  <c r="J17"/>
  <c r="J10"/>
  <c r="J11"/>
  <c r="J13"/>
  <c r="K13" s="1"/>
  <c r="L13" s="1"/>
  <c r="J6"/>
  <c r="J18"/>
  <c r="J7"/>
  <c r="J14"/>
  <c r="K14" s="1"/>
  <c r="L14" s="1"/>
  <c r="J15"/>
  <c r="J16"/>
  <c r="K16" s="1"/>
  <c r="L16" s="1"/>
  <c r="O16" s="1"/>
  <c r="J8"/>
  <c r="L8" s="1"/>
  <c r="J12"/>
  <c r="X5"/>
  <c r="K6"/>
  <c r="L6" s="1"/>
  <c r="K7"/>
  <c r="K8"/>
  <c r="K9"/>
  <c r="K10"/>
  <c r="K11"/>
  <c r="K12"/>
  <c r="K15"/>
  <c r="K17"/>
  <c r="L17" s="1"/>
  <c r="K18"/>
  <c r="K19"/>
  <c r="L19" s="1"/>
  <c r="O19" s="1"/>
  <c r="O7" i="8"/>
  <c r="P7" s="1"/>
  <c r="O8"/>
  <c r="P8"/>
  <c r="O9"/>
  <c r="P9" s="1"/>
  <c r="O10"/>
  <c r="P10"/>
  <c r="O11"/>
  <c r="P11" s="1"/>
  <c r="O12"/>
  <c r="P12"/>
  <c r="O13"/>
  <c r="P13" s="1"/>
  <c r="O14"/>
  <c r="P14"/>
  <c r="O15"/>
  <c r="P15" s="1"/>
  <c r="O16"/>
  <c r="P16"/>
  <c r="O17"/>
  <c r="P17" s="1"/>
  <c r="O18"/>
  <c r="P18"/>
  <c r="O19"/>
  <c r="P19" s="1"/>
  <c r="O20"/>
  <c r="P20"/>
  <c r="O6"/>
  <c r="P6"/>
  <c r="K6" i="9"/>
  <c r="W6" s="1"/>
  <c r="K5"/>
  <c r="L5" s="1"/>
  <c r="M5" s="1"/>
  <c r="Q5"/>
  <c r="R5" s="1"/>
  <c r="Y18" i="7"/>
  <c r="X5" i="4"/>
  <c r="Y19" i="7"/>
  <c r="L9"/>
  <c r="L10"/>
  <c r="L12"/>
  <c r="L15"/>
  <c r="L18"/>
  <c r="AK5" i="10"/>
  <c r="AN5" s="1"/>
  <c r="X6" i="7"/>
  <c r="X13"/>
  <c r="AC6"/>
  <c r="AC7"/>
  <c r="AC8"/>
  <c r="AC9"/>
  <c r="AC10"/>
  <c r="AC12"/>
  <c r="AC14"/>
  <c r="AC15"/>
  <c r="AC16"/>
  <c r="AC18"/>
  <c r="AC19"/>
  <c r="AC5"/>
  <c r="AP5" i="10"/>
  <c r="AG5"/>
  <c r="AH5"/>
  <c r="AC5"/>
  <c r="AD5"/>
  <c r="AM5" s="1"/>
  <c r="X6" i="9"/>
  <c r="Q6"/>
  <c r="R6"/>
  <c r="L6"/>
  <c r="M6"/>
  <c r="U6" s="1"/>
  <c r="X20" i="8"/>
  <c r="X19"/>
  <c r="X18"/>
  <c r="X17"/>
  <c r="X16"/>
  <c r="X15"/>
  <c r="X14"/>
  <c r="X13"/>
  <c r="X12"/>
  <c r="X11"/>
  <c r="Q10"/>
  <c r="X9"/>
  <c r="X8"/>
  <c r="X7"/>
  <c r="X6"/>
  <c r="V12" i="7"/>
  <c r="V11"/>
  <c r="V9"/>
  <c r="R19"/>
  <c r="S19" s="1"/>
  <c r="N19"/>
  <c r="R18"/>
  <c r="S18"/>
  <c r="N18"/>
  <c r="O18" s="1"/>
  <c r="T17"/>
  <c r="AC17" s="1"/>
  <c r="R17"/>
  <c r="S17" s="1"/>
  <c r="N17"/>
  <c r="O17" s="1"/>
  <c r="R16"/>
  <c r="S16"/>
  <c r="N16"/>
  <c r="R15"/>
  <c r="S15" s="1"/>
  <c r="N15"/>
  <c r="O15" s="1"/>
  <c r="R14"/>
  <c r="S14" s="1"/>
  <c r="N14"/>
  <c r="O14" s="1"/>
  <c r="T13"/>
  <c r="AC13"/>
  <c r="R13"/>
  <c r="S13"/>
  <c r="N13"/>
  <c r="R12"/>
  <c r="S12" s="1"/>
  <c r="N12"/>
  <c r="O12" s="1"/>
  <c r="T11"/>
  <c r="AC11"/>
  <c r="R11"/>
  <c r="S11"/>
  <c r="L11"/>
  <c r="R10"/>
  <c r="S10" s="1"/>
  <c r="N10"/>
  <c r="R9"/>
  <c r="S9"/>
  <c r="N9"/>
  <c r="O9"/>
  <c r="AB9" s="1"/>
  <c r="R8"/>
  <c r="S8"/>
  <c r="N8"/>
  <c r="O8" s="1"/>
  <c r="R7"/>
  <c r="S7" s="1"/>
  <c r="N7"/>
  <c r="L7"/>
  <c r="O7"/>
  <c r="AA7" s="1"/>
  <c r="R6"/>
  <c r="S6"/>
  <c r="N6"/>
  <c r="O6" s="1"/>
  <c r="R5"/>
  <c r="S5" s="1"/>
  <c r="N5"/>
  <c r="AQ8" i="6"/>
  <c r="AQ7"/>
  <c r="W5" i="4"/>
  <c r="AF6" i="6"/>
  <c r="AH6"/>
  <c r="AC6"/>
  <c r="AD6" s="1"/>
  <c r="AM6"/>
  <c r="AL6"/>
  <c r="J5" i="4"/>
  <c r="K5" s="1"/>
  <c r="AF7" i="6"/>
  <c r="AC8"/>
  <c r="AD8" s="1"/>
  <c r="AC5"/>
  <c r="AD5"/>
  <c r="AN5" s="1"/>
  <c r="AJ6"/>
  <c r="AK6"/>
  <c r="AJ7"/>
  <c r="AK7"/>
  <c r="AJ8"/>
  <c r="AK8"/>
  <c r="AJ5"/>
  <c r="AK5"/>
  <c r="P5" i="4"/>
  <c r="Q5"/>
  <c r="AC7" i="6"/>
  <c r="AD7"/>
  <c r="AO7" s="1"/>
  <c r="AO5"/>
  <c r="O10" i="7"/>
  <c r="Z10" s="1"/>
  <c r="AA10"/>
  <c r="X10" i="8"/>
  <c r="Z7" i="7"/>
  <c r="AO5" i="10"/>
  <c r="AA9" i="7"/>
  <c r="AB19" l="1"/>
  <c r="AA19"/>
  <c r="Z19"/>
  <c r="V18" i="8"/>
  <c r="W18"/>
  <c r="U18"/>
  <c r="AO8" i="6"/>
  <c r="AP8"/>
  <c r="AN8"/>
  <c r="Z8" i="7"/>
  <c r="AB8"/>
  <c r="AA8"/>
  <c r="V5" i="9"/>
  <c r="U5"/>
  <c r="V20" i="8"/>
  <c r="W20"/>
  <c r="U20"/>
  <c r="AA16" i="7"/>
  <c r="Z16"/>
  <c r="AB16"/>
  <c r="F10" i="8"/>
  <c r="I10" s="1"/>
  <c r="F9"/>
  <c r="I9" s="1"/>
  <c r="AN6" i="6"/>
  <c r="AO6"/>
  <c r="AP6"/>
  <c r="AB6" i="7"/>
  <c r="Z6"/>
  <c r="AA6"/>
  <c r="AA14"/>
  <c r="AB14"/>
  <c r="Z14"/>
  <c r="AB5"/>
  <c r="AA5"/>
  <c r="Z5"/>
  <c r="Z11"/>
  <c r="AA11"/>
  <c r="AB11"/>
  <c r="V13" i="8"/>
  <c r="U13"/>
  <c r="W13"/>
  <c r="U7"/>
  <c r="W7"/>
  <c r="V7"/>
  <c r="AB17" i="7"/>
  <c r="AA17"/>
  <c r="Z17"/>
  <c r="W6" i="8"/>
  <c r="U6"/>
  <c r="V6"/>
  <c r="V19"/>
  <c r="W19"/>
  <c r="U19"/>
  <c r="V14"/>
  <c r="U14"/>
  <c r="W14"/>
  <c r="Z15" i="7"/>
  <c r="AB15"/>
  <c r="AA15"/>
  <c r="Z18"/>
  <c r="AA18"/>
  <c r="AB18"/>
  <c r="V5" i="4"/>
  <c r="U5"/>
  <c r="T5"/>
  <c r="AB12" i="7"/>
  <c r="AA12"/>
  <c r="Z12"/>
  <c r="U17" i="8"/>
  <c r="W17"/>
  <c r="V17"/>
  <c r="V11"/>
  <c r="U11"/>
  <c r="W11"/>
  <c r="W8"/>
  <c r="V8"/>
  <c r="U8"/>
  <c r="O13" i="7"/>
  <c r="V6" i="9"/>
  <c r="AB7" i="7"/>
  <c r="AP7" i="6"/>
  <c r="F15" i="8"/>
  <c r="I15" s="1"/>
  <c r="F12"/>
  <c r="I12" s="1"/>
  <c r="W5" i="9"/>
  <c r="Z9" i="7"/>
  <c r="AB10"/>
  <c r="AP5" i="6"/>
  <c r="AN7"/>
  <c r="X5" i="9"/>
  <c r="E16" i="8"/>
  <c r="F16" s="1"/>
  <c r="I16" s="1"/>
  <c r="E10"/>
  <c r="E9"/>
  <c r="W16" l="1"/>
  <c r="U16"/>
  <c r="V16"/>
  <c r="AB13" i="7"/>
  <c r="AA13"/>
  <c r="Z13"/>
  <c r="V10" i="8"/>
  <c r="W10"/>
  <c r="U10"/>
  <c r="W15"/>
  <c r="U15"/>
  <c r="V15"/>
  <c r="W9"/>
  <c r="V9"/>
  <c r="U9"/>
  <c r="V12"/>
  <c r="W12"/>
  <c r="U12"/>
</calcChain>
</file>

<file path=xl/sharedStrings.xml><?xml version="1.0" encoding="utf-8"?>
<sst xmlns="http://schemas.openxmlformats.org/spreadsheetml/2006/main" count="288" uniqueCount="187">
  <si>
    <t>Наименование ОО</t>
  </si>
  <si>
    <t>Ф.И.О руководителя</t>
  </si>
  <si>
    <t>Количество баллов</t>
  </si>
  <si>
    <t>1. Обеспечение доступности качественного образования</t>
  </si>
  <si>
    <t>1.1. Рейтинг ОО</t>
  </si>
  <si>
    <t>1.2. Обеспечение доступности дошкольного образования</t>
  </si>
  <si>
    <t>2. Модернизация дошкольного образования</t>
  </si>
  <si>
    <t>2.1. Доведение заработной платы до уровня средней</t>
  </si>
  <si>
    <t>2.2. целевое и эффектиное использование имеющихся ресурсов</t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</si>
  <si>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</si>
  <si>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</si>
  <si>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</si>
  <si>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</si>
  <si>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</si>
  <si>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</si>
  <si>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</si>
  <si>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</si>
  <si>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Кузьмина Н. А.</t>
  </si>
  <si>
    <t>Владимирцева Л. В.</t>
  </si>
  <si>
    <t>Сенафонкина О. В.</t>
  </si>
  <si>
    <t>Редковская Т. Ф.</t>
  </si>
  <si>
    <t>Казакова Н. В.</t>
  </si>
  <si>
    <t>Новикова Л. А.</t>
  </si>
  <si>
    <t>Хаснулина Л. Д.</t>
  </si>
  <si>
    <t>1. Качество и доступность образования</t>
  </si>
  <si>
    <t>1.2. Удовлетворенность населения</t>
  </si>
  <si>
    <t>2.3.Увеличение доли детей</t>
  </si>
  <si>
    <t>2.4.Удельный вес уч-ся, участвующих в соревнованиях</t>
  </si>
  <si>
    <r>
      <t xml:space="preserve">2.2. целевое и эффектиное использование имеющихся ресурсов - </t>
    </r>
    <r>
      <rPr>
        <b/>
        <i/>
        <sz val="10"/>
        <color indexed="8"/>
        <rFont val="Times New Roman"/>
        <family val="1"/>
        <charset val="204"/>
      </rPr>
      <t>производительность труда</t>
    </r>
  </si>
  <si>
    <r>
      <t>2.2. целевое и эффектиное использование имеющихся ресурсов -</t>
    </r>
    <r>
      <rPr>
        <b/>
        <i/>
        <sz val="10"/>
        <color indexed="8"/>
        <rFont val="Times New Roman"/>
        <family val="1"/>
        <charset val="204"/>
      </rPr>
      <t xml:space="preserve"> эффективность управления кадровыми ресурсами</t>
    </r>
  </si>
  <si>
    <t>2. Модернизация образования</t>
  </si>
  <si>
    <t>2. Модернизация дополнительногообразования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</si>
  <si>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</si>
  <si>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</si>
  <si>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</si>
  <si>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</si>
  <si>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</si>
  <si>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МКОУ Окуневский детский дом "Мечта"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</si>
  <si>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</si>
  <si>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</si>
  <si>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</si>
  <si>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color indexed="8"/>
        <rFont val="Times New Roman"/>
        <family val="1"/>
        <charset val="204"/>
      </rPr>
      <t>привлечение средст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</si>
  <si>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</si>
  <si>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</si>
  <si>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</si>
  <si>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</si>
  <si>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</si>
  <si>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</si>
  <si>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</si>
  <si>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</si>
  <si>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</si>
  <si>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</si>
  <si>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</si>
  <si>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</si>
  <si>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</si>
  <si>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</si>
  <si>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</si>
  <si>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</si>
  <si>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</si>
  <si>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доля поступивщих в ВУЗы, ССУЗы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</si>
  <si>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вовлеченных в ДОД</t>
    </r>
  </si>
  <si>
    <t>2.Совершенствование условий для социальной адаптации</t>
  </si>
  <si>
    <t>Карпачева Т. И.</t>
  </si>
  <si>
    <t>Меренкова С. Ю.</t>
  </si>
  <si>
    <t>Линовский Ю. С.</t>
  </si>
  <si>
    <t>Старосельникова И. А.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</si>
  <si>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</si>
  <si>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</si>
  <si>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</si>
  <si>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</si>
  <si>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остаток центр фонда</t>
  </si>
  <si>
    <t>остаток цент фонда</t>
  </si>
  <si>
    <t xml:space="preserve">ост центр 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</si>
  <si>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</si>
  <si>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</si>
  <si>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</si>
  <si>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</si>
  <si>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</si>
  <si>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Ожогова Е.Н.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</si>
  <si>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</si>
  <si>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</si>
  <si>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</si>
  <si>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</si>
  <si>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</si>
  <si>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</si>
  <si>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</si>
  <si>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</si>
  <si>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</si>
  <si>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</si>
  <si>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</si>
  <si>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</si>
  <si>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</si>
  <si>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</si>
  <si>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</si>
  <si>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</si>
  <si>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</si>
  <si>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</si>
  <si>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</si>
  <si>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</si>
  <si>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</si>
  <si>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</si>
  <si>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</si>
  <si>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</si>
  <si>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</si>
  <si>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</si>
  <si>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</si>
  <si>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</si>
  <si>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</si>
  <si>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</si>
  <si>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</si>
  <si>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</si>
  <si>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</si>
  <si>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</si>
  <si>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</si>
  <si>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</si>
  <si>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Итого стим выплат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</si>
  <si>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</si>
  <si>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</si>
  <si>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</si>
  <si>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</si>
  <si>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Ударцева О. Ю.</t>
  </si>
  <si>
    <t>Головей С. Д.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</si>
  <si>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</si>
  <si>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</si>
  <si>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</si>
  <si>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</si>
  <si>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</si>
  <si>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за особые условия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</si>
  <si>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</si>
  <si>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</si>
  <si>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</si>
  <si>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</si>
  <si>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</si>
  <si>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6. МБДОУ "Каменский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</si>
  <si>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</si>
  <si>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</si>
  <si>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</si>
  <si>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</si>
  <si>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12. МБДОУ "Трудовской д/с"</t>
  </si>
  <si>
    <t>в т.ч. стим выплат</t>
  </si>
  <si>
    <t>в том числе стим выплат</t>
  </si>
  <si>
    <t>задолженность по родит пл</t>
  </si>
  <si>
    <t>колич баллов по оцен листам</t>
  </si>
  <si>
    <t>3% за долг по родит плате</t>
  </si>
  <si>
    <t>Итого баллов за минусом 3%</t>
  </si>
  <si>
    <t>Сафронов А.М.</t>
  </si>
  <si>
    <t>Зудина Т.С.</t>
  </si>
  <si>
    <t>Беликова А.Н.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</si>
  <si>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</si>
  <si>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</si>
  <si>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</si>
  <si>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</si>
  <si>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3. МОБУ "Краснинская ООШ"</t>
  </si>
  <si>
    <t>4. МОБУ "Лебедевская ООШ"</t>
  </si>
  <si>
    <t>5. МБОУ "Плотниковская ООШ"</t>
  </si>
  <si>
    <t>6. МБОУ "Протопоповская ООШ"</t>
  </si>
  <si>
    <t>7. МБОУ "Пьяновская ООШ"</t>
  </si>
  <si>
    <t>8. МОБУ "Титовская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</si>
  <si>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</si>
  <si>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</si>
  <si>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</si>
  <si>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</si>
  <si>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</si>
  <si>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</si>
  <si>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</si>
  <si>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Ефремова</t>
  </si>
  <si>
    <t>Лоренц В.В.</t>
  </si>
  <si>
    <t>Перфильев А.Н.</t>
  </si>
  <si>
    <t>Горемыкина И.В.</t>
  </si>
  <si>
    <t>Шама С.Ю.</t>
  </si>
  <si>
    <t>Бауман Т.И.</t>
  </si>
  <si>
    <t>Пискунова Е,А.</t>
  </si>
  <si>
    <t>5% за долг по родит плате</t>
  </si>
  <si>
    <t>В т.ч стим выплат</t>
  </si>
  <si>
    <t>расчет оплаты труда  руководителя - 01.04.2019г.</t>
  </si>
  <si>
    <t>расчет оплаты труда  руководителей - 01.04.2019г.</t>
  </si>
  <si>
    <t>5. МДОБУ "Калинкинский д/с"</t>
  </si>
  <si>
    <t>11. МДОБУ "Тарасовский д/с"</t>
  </si>
  <si>
    <t>13. МБДОУ "Промышленновский д/с № 1 "Рябинка"</t>
  </si>
  <si>
    <t>14. МБДОУ "Детский сад "Светлячок"</t>
  </si>
  <si>
    <t>15. МАДОУ Промышленновский д/с "Сказка"</t>
  </si>
  <si>
    <t>1. УДО ДДТ</t>
  </si>
  <si>
    <t>2. МБОУ ДО "ДЮСШ п.Плотниково"</t>
  </si>
  <si>
    <t>Гракова Н.А.</t>
  </si>
  <si>
    <t>МОКУ "Падунская школа-интернат"</t>
  </si>
  <si>
    <t>Брехт Н.Н.</t>
  </si>
  <si>
    <t>3 оклада годовых (25% ежемесячно)</t>
  </si>
</sst>
</file>

<file path=xl/styles.xml><?xml version="1.0" encoding="utf-8"?>
<styleSheet xmlns="http://schemas.openxmlformats.org/spreadsheetml/2006/main">
  <numFmts count="1">
    <numFmt numFmtId="172" formatCode="0.0"/>
  </numFmts>
  <fonts count="26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/>
    <xf numFmtId="0" fontId="0" fillId="0" borderId="0" xfId="0" applyFill="1"/>
    <xf numFmtId="0" fontId="8" fillId="0" borderId="0" xfId="0" applyFont="1" applyFill="1"/>
    <xf numFmtId="0" fontId="7" fillId="0" borderId="0" xfId="0" applyFont="1" applyFill="1"/>
    <xf numFmtId="0" fontId="13" fillId="0" borderId="0" xfId="0" applyFont="1"/>
    <xf numFmtId="0" fontId="0" fillId="0" borderId="0" xfId="0" applyBorder="1"/>
    <xf numFmtId="0" fontId="4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0" xfId="0" applyFill="1"/>
    <xf numFmtId="0" fontId="2" fillId="2" borderId="5" xfId="0" applyFont="1" applyFill="1" applyBorder="1"/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11" xfId="0" applyFont="1" applyFill="1" applyBorder="1"/>
    <xf numFmtId="0" fontId="16" fillId="2" borderId="12" xfId="0" applyFont="1" applyFill="1" applyBorder="1"/>
    <xf numFmtId="0" fontId="16" fillId="2" borderId="12" xfId="0" applyFont="1" applyFill="1" applyBorder="1"/>
    <xf numFmtId="0" fontId="16" fillId="2" borderId="9" xfId="0" applyFont="1" applyFill="1" applyBorder="1"/>
    <xf numFmtId="2" fontId="16" fillId="2" borderId="12" xfId="0" applyNumberFormat="1" applyFont="1" applyFill="1" applyBorder="1"/>
    <xf numFmtId="0" fontId="16" fillId="2" borderId="13" xfId="0" applyFont="1" applyFill="1" applyBorder="1"/>
    <xf numFmtId="2" fontId="16" fillId="2" borderId="13" xfId="0" applyNumberFormat="1" applyFont="1" applyFill="1" applyBorder="1"/>
    <xf numFmtId="2" fontId="16" fillId="2" borderId="14" xfId="0" applyNumberFormat="1" applyFont="1" applyFill="1" applyBorder="1"/>
    <xf numFmtId="0" fontId="16" fillId="2" borderId="14" xfId="0" applyFont="1" applyFill="1" applyBorder="1"/>
    <xf numFmtId="2" fontId="17" fillId="2" borderId="4" xfId="0" applyNumberFormat="1" applyFont="1" applyFill="1" applyBorder="1" applyAlignment="1">
      <alignment vertical="top" wrapText="1"/>
    </xf>
    <xf numFmtId="2" fontId="15" fillId="2" borderId="4" xfId="0" applyNumberFormat="1" applyFont="1" applyFill="1" applyBorder="1"/>
    <xf numFmtId="2" fontId="0" fillId="2" borderId="4" xfId="0" applyNumberFormat="1" applyFill="1" applyBorder="1"/>
    <xf numFmtId="0" fontId="16" fillId="2" borderId="4" xfId="0" applyFont="1" applyFill="1" applyBorder="1"/>
    <xf numFmtId="0" fontId="16" fillId="2" borderId="0" xfId="0" applyFont="1" applyFill="1"/>
    <xf numFmtId="0" fontId="14" fillId="2" borderId="15" xfId="0" applyFont="1" applyFill="1" applyBorder="1"/>
    <xf numFmtId="0" fontId="14" fillId="2" borderId="16" xfId="0" applyFont="1" applyFill="1" applyBorder="1"/>
    <xf numFmtId="0" fontId="14" fillId="2" borderId="17" xfId="0" applyFont="1" applyFill="1" applyBorder="1"/>
    <xf numFmtId="0" fontId="16" fillId="2" borderId="15" xfId="0" applyFont="1" applyFill="1" applyBorder="1"/>
    <xf numFmtId="0" fontId="16" fillId="2" borderId="15" xfId="0" applyFont="1" applyFill="1" applyBorder="1"/>
    <xf numFmtId="2" fontId="16" fillId="2" borderId="15" xfId="0" applyNumberFormat="1" applyFont="1" applyFill="1" applyBorder="1"/>
    <xf numFmtId="0" fontId="16" fillId="2" borderId="18" xfId="0" applyFont="1" applyFill="1" applyBorder="1"/>
    <xf numFmtId="2" fontId="16" fillId="2" borderId="18" xfId="0" applyNumberFormat="1" applyFont="1" applyFill="1" applyBorder="1"/>
    <xf numFmtId="2" fontId="16" fillId="2" borderId="1" xfId="0" applyNumberFormat="1" applyFont="1" applyFill="1" applyBorder="1"/>
    <xf numFmtId="0" fontId="16" fillId="2" borderId="5" xfId="0" applyFont="1" applyFill="1" applyBorder="1"/>
    <xf numFmtId="2" fontId="16" fillId="2" borderId="4" xfId="0" applyNumberFormat="1" applyFont="1" applyFill="1" applyBorder="1"/>
    <xf numFmtId="0" fontId="16" fillId="2" borderId="19" xfId="0" applyFont="1" applyFill="1" applyBorder="1"/>
    <xf numFmtId="0" fontId="14" fillId="2" borderId="12" xfId="0" applyFont="1" applyFill="1" applyBorder="1"/>
    <xf numFmtId="0" fontId="14" fillId="2" borderId="20" xfId="0" applyFont="1" applyFill="1" applyBorder="1"/>
    <xf numFmtId="0" fontId="14" fillId="2" borderId="21" xfId="0" applyFont="1" applyFill="1" applyBorder="1"/>
    <xf numFmtId="0" fontId="14" fillId="2" borderId="9" xfId="0" applyFont="1" applyFill="1" applyBorder="1" applyAlignment="1">
      <alignment wrapText="1"/>
    </xf>
    <xf numFmtId="0" fontId="18" fillId="2" borderId="9" xfId="0" applyFont="1" applyFill="1" applyBorder="1"/>
    <xf numFmtId="0" fontId="14" fillId="2" borderId="2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2" fontId="21" fillId="2" borderId="4" xfId="0" applyNumberFormat="1" applyFont="1" applyFill="1" applyBorder="1" applyAlignment="1">
      <alignment vertical="top" wrapText="1"/>
    </xf>
    <xf numFmtId="2" fontId="21" fillId="2" borderId="4" xfId="0" applyNumberFormat="1" applyFont="1" applyFill="1" applyBorder="1"/>
    <xf numFmtId="0" fontId="16" fillId="2" borderId="4" xfId="0" applyFont="1" applyFill="1" applyBorder="1"/>
    <xf numFmtId="1" fontId="16" fillId="2" borderId="12" xfId="0" applyNumberFormat="1" applyFont="1" applyFill="1" applyBorder="1"/>
    <xf numFmtId="1" fontId="16" fillId="2" borderId="14" xfId="0" applyNumberFormat="1" applyFont="1" applyFill="1" applyBorder="1"/>
    <xf numFmtId="0" fontId="16" fillId="2" borderId="4" xfId="0" applyFont="1" applyFill="1" applyBorder="1" applyAlignment="1">
      <alignment vertical="center" wrapText="1"/>
    </xf>
    <xf numFmtId="2" fontId="16" fillId="2" borderId="4" xfId="0" applyNumberFormat="1" applyFont="1" applyFill="1" applyBorder="1" applyAlignment="1">
      <alignment vertical="center" wrapText="1"/>
    </xf>
    <xf numFmtId="0" fontId="18" fillId="2" borderId="13" xfId="0" applyFont="1" applyFill="1" applyBorder="1"/>
    <xf numFmtId="0" fontId="14" fillId="2" borderId="4" xfId="0" applyFont="1" applyFill="1" applyBorder="1"/>
    <xf numFmtId="0" fontId="14" fillId="2" borderId="12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3" fillId="2" borderId="0" xfId="0" applyFont="1" applyFill="1"/>
    <xf numFmtId="0" fontId="4" fillId="2" borderId="2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6" fillId="2" borderId="10" xfId="0" applyFont="1" applyFill="1" applyBorder="1"/>
    <xf numFmtId="0" fontId="16" fillId="2" borderId="11" xfId="0" applyFont="1" applyFill="1" applyBorder="1"/>
    <xf numFmtId="2" fontId="16" fillId="2" borderId="14" xfId="0" applyNumberFormat="1" applyFont="1" applyFill="1" applyBorder="1" applyAlignment="1">
      <alignment vertical="top" wrapText="1"/>
    </xf>
    <xf numFmtId="2" fontId="17" fillId="2" borderId="4" xfId="0" applyNumberFormat="1" applyFont="1" applyFill="1" applyBorder="1" applyAlignment="1">
      <alignment vertical="top" wrapText="1"/>
    </xf>
    <xf numFmtId="0" fontId="20" fillId="2" borderId="4" xfId="0" applyFont="1" applyFill="1" applyBorder="1"/>
    <xf numFmtId="2" fontId="20" fillId="2" borderId="0" xfId="0" applyNumberFormat="1" applyFont="1" applyFill="1"/>
    <xf numFmtId="0" fontId="20" fillId="2" borderId="0" xfId="0" applyFont="1" applyFill="1"/>
    <xf numFmtId="0" fontId="22" fillId="2" borderId="10" xfId="0" applyFont="1" applyFill="1" applyBorder="1"/>
    <xf numFmtId="0" fontId="22" fillId="2" borderId="9" xfId="0" applyFont="1" applyFill="1" applyBorder="1"/>
    <xf numFmtId="0" fontId="22" fillId="2" borderId="11" xfId="0" applyFont="1" applyFill="1" applyBorder="1"/>
    <xf numFmtId="0" fontId="22" fillId="2" borderId="12" xfId="0" applyFont="1" applyFill="1" applyBorder="1"/>
    <xf numFmtId="2" fontId="22" fillId="2" borderId="12" xfId="0" applyNumberFormat="1" applyFont="1" applyFill="1" applyBorder="1"/>
    <xf numFmtId="0" fontId="22" fillId="2" borderId="13" xfId="0" applyFont="1" applyFill="1" applyBorder="1"/>
    <xf numFmtId="2" fontId="22" fillId="2" borderId="13" xfId="0" applyNumberFormat="1" applyFont="1" applyFill="1" applyBorder="1"/>
    <xf numFmtId="2" fontId="22" fillId="2" borderId="14" xfId="0" applyNumberFormat="1" applyFont="1" applyFill="1" applyBorder="1"/>
    <xf numFmtId="0" fontId="22" fillId="2" borderId="14" xfId="0" applyFont="1" applyFill="1" applyBorder="1"/>
    <xf numFmtId="2" fontId="20" fillId="2" borderId="4" xfId="0" applyNumberFormat="1" applyFont="1" applyFill="1" applyBorder="1"/>
    <xf numFmtId="0" fontId="4" fillId="2" borderId="6" xfId="0" applyFont="1" applyFill="1" applyBorder="1" applyAlignment="1">
      <alignment vertical="top" wrapText="1"/>
    </xf>
    <xf numFmtId="0" fontId="0" fillId="2" borderId="4" xfId="0" applyFill="1" applyBorder="1"/>
    <xf numFmtId="0" fontId="16" fillId="2" borderId="20" xfId="0" applyFont="1" applyFill="1" applyBorder="1"/>
    <xf numFmtId="0" fontId="16" fillId="2" borderId="21" xfId="0" applyFont="1" applyFill="1" applyBorder="1"/>
    <xf numFmtId="2" fontId="0" fillId="2" borderId="4" xfId="0" applyNumberFormat="1" applyFill="1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top" wrapText="1"/>
    </xf>
    <xf numFmtId="0" fontId="24" fillId="2" borderId="0" xfId="0" applyFont="1" applyFill="1"/>
    <xf numFmtId="0" fontId="25" fillId="2" borderId="0" xfId="0" applyFont="1" applyFill="1"/>
    <xf numFmtId="0" fontId="25" fillId="2" borderId="4" xfId="0" applyFont="1" applyFill="1" applyBorder="1"/>
    <xf numFmtId="0" fontId="14" fillId="2" borderId="22" xfId="0" applyFont="1" applyFill="1" applyBorder="1" applyAlignment="1">
      <alignment vertical="top" wrapText="1"/>
    </xf>
    <xf numFmtId="2" fontId="21" fillId="2" borderId="4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2" fontId="22" fillId="2" borderId="4" xfId="0" applyNumberFormat="1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vertical="top"/>
    </xf>
    <xf numFmtId="2" fontId="14" fillId="2" borderId="12" xfId="0" applyNumberFormat="1" applyFont="1" applyFill="1" applyBorder="1" applyAlignment="1">
      <alignment vertical="top"/>
    </xf>
    <xf numFmtId="2" fontId="14" fillId="2" borderId="14" xfId="0" applyNumberFormat="1" applyFont="1" applyFill="1" applyBorder="1" applyAlignment="1">
      <alignment vertical="top"/>
    </xf>
    <xf numFmtId="2" fontId="14" fillId="2" borderId="4" xfId="0" applyNumberFormat="1" applyFont="1" applyFill="1" applyBorder="1" applyAlignment="1">
      <alignment vertical="top" wrapText="1"/>
    </xf>
    <xf numFmtId="0" fontId="9" fillId="2" borderId="23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2" fillId="2" borderId="2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/>
    </xf>
    <xf numFmtId="0" fontId="6" fillId="2" borderId="12" xfId="0" applyFont="1" applyFill="1" applyBorder="1" applyAlignment="1">
      <alignment vertical="top"/>
    </xf>
    <xf numFmtId="0" fontId="6" fillId="2" borderId="22" xfId="0" applyFont="1" applyFill="1" applyBorder="1" applyAlignment="1">
      <alignment vertical="top"/>
    </xf>
    <xf numFmtId="0" fontId="6" fillId="2" borderId="20" xfId="0" applyFont="1" applyFill="1" applyBorder="1" applyAlignment="1">
      <alignment vertical="top"/>
    </xf>
    <xf numFmtId="0" fontId="6" fillId="2" borderId="21" xfId="0" applyFont="1" applyFill="1" applyBorder="1" applyAlignment="1">
      <alignment vertical="top"/>
    </xf>
    <xf numFmtId="0" fontId="10" fillId="2" borderId="12" xfId="0" applyFont="1" applyFill="1" applyBorder="1" applyAlignment="1">
      <alignment vertical="top"/>
    </xf>
    <xf numFmtId="0" fontId="12" fillId="2" borderId="12" xfId="0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/>
    </xf>
    <xf numFmtId="2" fontId="12" fillId="2" borderId="20" xfId="0" applyNumberFormat="1" applyFont="1" applyFill="1" applyBorder="1" applyAlignment="1">
      <alignment horizontal="right" vertical="center"/>
    </xf>
    <xf numFmtId="1" fontId="12" fillId="2" borderId="20" xfId="0" applyNumberFormat="1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/>
    <xf numFmtId="0" fontId="7" fillId="2" borderId="4" xfId="0" applyFont="1" applyFill="1" applyBorder="1"/>
    <xf numFmtId="2" fontId="12" fillId="2" borderId="12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1" fontId="12" fillId="2" borderId="19" xfId="0" applyNumberFormat="1" applyFont="1" applyFill="1" applyBorder="1" applyAlignment="1">
      <alignment horizontal="right" vertical="center"/>
    </xf>
    <xf numFmtId="2" fontId="12" fillId="2" borderId="19" xfId="0" applyNumberFormat="1" applyFont="1" applyFill="1" applyBorder="1" applyAlignment="1">
      <alignment horizontal="right" vertical="center"/>
    </xf>
    <xf numFmtId="2" fontId="12" fillId="2" borderId="4" xfId="0" applyNumberFormat="1" applyFont="1" applyFill="1" applyBorder="1"/>
    <xf numFmtId="0" fontId="12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right" vertical="center"/>
    </xf>
    <xf numFmtId="172" fontId="12" fillId="2" borderId="19" xfId="0" applyNumberFormat="1" applyFont="1" applyFill="1" applyBorder="1" applyAlignment="1">
      <alignment horizontal="right" vertical="center"/>
    </xf>
    <xf numFmtId="2" fontId="0" fillId="2" borderId="0" xfId="0" applyNumberFormat="1" applyFill="1"/>
    <xf numFmtId="0" fontId="18" fillId="2" borderId="4" xfId="0" applyFont="1" applyFill="1" applyBorder="1" applyAlignment="1"/>
    <xf numFmtId="0" fontId="19" fillId="2" borderId="4" xfId="0" applyFont="1" applyFill="1" applyBorder="1" applyAlignment="1"/>
    <xf numFmtId="0" fontId="18" fillId="2" borderId="4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right"/>
    </xf>
    <xf numFmtId="0" fontId="18" fillId="2" borderId="20" xfId="0" applyFont="1" applyFill="1" applyBorder="1" applyAlignment="1">
      <alignment horizontal="right"/>
    </xf>
    <xf numFmtId="0" fontId="18" fillId="2" borderId="19" xfId="0" applyFont="1" applyFill="1" applyBorder="1" applyAlignment="1">
      <alignment horizontal="right"/>
    </xf>
    <xf numFmtId="2" fontId="18" fillId="2" borderId="4" xfId="0" applyNumberFormat="1" applyFont="1" applyFill="1" applyBorder="1" applyAlignment="1">
      <alignment horizontal="right"/>
    </xf>
    <xf numFmtId="2" fontId="18" fillId="2" borderId="4" xfId="0" applyNumberFormat="1" applyFont="1" applyFill="1" applyBorder="1" applyAlignment="1">
      <alignment horizontal="right" wrapText="1"/>
    </xf>
    <xf numFmtId="2" fontId="0" fillId="2" borderId="0" xfId="0" applyNumberFormat="1" applyFill="1" applyAlignment="1"/>
    <xf numFmtId="0" fontId="0" fillId="2" borderId="0" xfId="0" applyFill="1" applyAlignment="1"/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4" fillId="2" borderId="24" xfId="0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4" fillId="2" borderId="30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9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8"/>
  <sheetViews>
    <sheetView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1" sqref="Y1"/>
    </sheetView>
  </sheetViews>
  <sheetFormatPr defaultRowHeight="15"/>
  <cols>
    <col min="1" max="1" width="46.140625" customWidth="1"/>
    <col min="2" max="2" width="20.42578125" customWidth="1"/>
    <col min="3" max="3" width="13.42578125" hidden="1" customWidth="1"/>
    <col min="4" max="4" width="14.5703125" hidden="1" customWidth="1"/>
    <col min="5" max="5" width="16.140625" hidden="1" customWidth="1"/>
    <col min="6" max="6" width="12.85546875" hidden="1" customWidth="1"/>
    <col min="7" max="7" width="9.5703125" hidden="1" customWidth="1"/>
    <col min="8" max="8" width="10" hidden="1" customWidth="1"/>
    <col min="9" max="9" width="13.5703125" customWidth="1"/>
    <col min="10" max="10" width="12" customWidth="1"/>
    <col min="11" max="11" width="9" customWidth="1"/>
    <col min="12" max="12" width="8.28515625" customWidth="1"/>
    <col min="13" max="13" width="8.5703125" customWidth="1"/>
    <col min="14" max="14" width="8.85546875" customWidth="1"/>
    <col min="15" max="15" width="12.28515625" customWidth="1"/>
    <col min="16" max="16" width="5.85546875" customWidth="1"/>
    <col min="17" max="17" width="11.7109375" customWidth="1"/>
    <col min="18" max="18" width="11.28515625" customWidth="1"/>
    <col min="19" max="19" width="10.5703125" customWidth="1"/>
    <col min="20" max="20" width="12.28515625" customWidth="1"/>
    <col min="21" max="21" width="1" hidden="1" customWidth="1"/>
    <col min="22" max="22" width="8.140625" customWidth="1"/>
    <col min="23" max="23" width="11.28515625" hidden="1" customWidth="1"/>
    <col min="24" max="25" width="11.140625" customWidth="1"/>
    <col min="26" max="26" width="15.140625" customWidth="1"/>
    <col min="27" max="27" width="11.5703125" hidden="1" customWidth="1"/>
    <col min="28" max="28" width="9.42578125" hidden="1" customWidth="1"/>
    <col min="29" max="29" width="10.140625" hidden="1" customWidth="1"/>
  </cols>
  <sheetData>
    <row r="1" spans="1:29" ht="18.75">
      <c r="A1" s="169" t="s">
        <v>175</v>
      </c>
      <c r="B1" s="169"/>
      <c r="C1" s="170"/>
      <c r="D1" s="170"/>
      <c r="E1" s="170"/>
      <c r="F1" s="170"/>
      <c r="G1" s="170"/>
      <c r="H1" s="170"/>
      <c r="I1" s="17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62.25" customHeight="1" thickBot="1">
      <c r="Q2" s="5" t="s">
        <v>116</v>
      </c>
      <c r="T2" s="5" t="s">
        <v>116</v>
      </c>
      <c r="AA2" s="5" t="s">
        <v>116</v>
      </c>
    </row>
    <row r="3" spans="1:29" s="11" customFormat="1" ht="49.5" customHeight="1" thickBot="1">
      <c r="A3" s="7" t="s">
        <v>0</v>
      </c>
      <c r="B3" s="7" t="s">
        <v>1</v>
      </c>
      <c r="C3" s="173" t="s">
        <v>3</v>
      </c>
      <c r="D3" s="174"/>
      <c r="E3" s="173" t="s">
        <v>6</v>
      </c>
      <c r="F3" s="175"/>
      <c r="G3" s="175"/>
      <c r="H3" s="174"/>
      <c r="I3" s="171" t="s">
        <v>141</v>
      </c>
      <c r="J3" s="171" t="s">
        <v>142</v>
      </c>
      <c r="K3" s="171" t="s">
        <v>143</v>
      </c>
      <c r="L3" s="176" t="s">
        <v>144</v>
      </c>
      <c r="M3" s="171" t="s">
        <v>12</v>
      </c>
      <c r="N3" s="159" t="s">
        <v>13</v>
      </c>
      <c r="O3" s="159" t="s">
        <v>14</v>
      </c>
      <c r="P3" s="8" t="s">
        <v>68</v>
      </c>
      <c r="Q3" s="163" t="s">
        <v>109</v>
      </c>
      <c r="R3" s="163"/>
      <c r="S3" s="163"/>
      <c r="T3" s="163" t="s">
        <v>113</v>
      </c>
      <c r="U3" s="165" t="s">
        <v>81</v>
      </c>
      <c r="V3" s="9" t="s">
        <v>86</v>
      </c>
      <c r="W3" s="159" t="s">
        <v>73</v>
      </c>
      <c r="X3" s="167" t="s">
        <v>122</v>
      </c>
      <c r="Y3" s="168" t="s">
        <v>123</v>
      </c>
      <c r="Z3" s="10" t="s">
        <v>15</v>
      </c>
      <c r="AA3" s="161" t="s">
        <v>139</v>
      </c>
      <c r="AB3" s="163" t="s">
        <v>70</v>
      </c>
      <c r="AC3" s="164" t="s">
        <v>148</v>
      </c>
    </row>
    <row r="4" spans="1:29" s="11" customFormat="1" ht="72.75" customHeight="1" thickBot="1">
      <c r="A4" s="12"/>
      <c r="B4" s="12"/>
      <c r="C4" s="13" t="s">
        <v>4</v>
      </c>
      <c r="D4" s="14" t="s">
        <v>5</v>
      </c>
      <c r="E4" s="14" t="s">
        <v>7</v>
      </c>
      <c r="F4" s="15" t="s">
        <v>8</v>
      </c>
      <c r="G4" s="14" t="s">
        <v>9</v>
      </c>
      <c r="H4" s="14" t="s">
        <v>10</v>
      </c>
      <c r="I4" s="172"/>
      <c r="J4" s="172"/>
      <c r="K4" s="172"/>
      <c r="L4" s="177"/>
      <c r="M4" s="172"/>
      <c r="N4" s="160"/>
      <c r="O4" s="160"/>
      <c r="P4" s="16"/>
      <c r="Q4" s="17" t="s">
        <v>110</v>
      </c>
      <c r="R4" s="17" t="s">
        <v>111</v>
      </c>
      <c r="S4" s="17" t="s">
        <v>112</v>
      </c>
      <c r="T4" s="163"/>
      <c r="U4" s="166"/>
      <c r="V4" s="16"/>
      <c r="W4" s="160"/>
      <c r="X4" s="167"/>
      <c r="Y4" s="168"/>
      <c r="Z4" s="10"/>
      <c r="AA4" s="162"/>
      <c r="AB4" s="163"/>
      <c r="AC4" s="164"/>
    </row>
    <row r="5" spans="1:29" s="11" customFormat="1" ht="31.9" customHeight="1">
      <c r="A5" s="18" t="s">
        <v>130</v>
      </c>
      <c r="B5" s="18" t="s">
        <v>16</v>
      </c>
      <c r="C5" s="19">
        <v>24</v>
      </c>
      <c r="D5" s="18">
        <v>5</v>
      </c>
      <c r="E5" s="18"/>
      <c r="F5" s="20">
        <v>5</v>
      </c>
      <c r="G5" s="18">
        <v>0</v>
      </c>
      <c r="H5" s="18">
        <v>10</v>
      </c>
      <c r="I5" s="21">
        <v>28930</v>
      </c>
      <c r="J5" s="22">
        <f>51+9</f>
        <v>60</v>
      </c>
      <c r="K5" s="21">
        <f>SUM(J5*5/100)</f>
        <v>3</v>
      </c>
      <c r="L5" s="21">
        <f>SUM(J5-K5)</f>
        <v>57</v>
      </c>
      <c r="M5" s="23">
        <v>16351</v>
      </c>
      <c r="N5" s="21">
        <f t="shared" ref="N5:N19" si="0">SUM(M5/100)</f>
        <v>163.51</v>
      </c>
      <c r="O5" s="24">
        <f t="shared" ref="O5:O19" si="1">SUM(N5*L5)</f>
        <v>9320.07</v>
      </c>
      <c r="P5" s="25"/>
      <c r="Q5" s="26">
        <v>29734.99</v>
      </c>
      <c r="R5" s="27">
        <f t="shared" ref="R5:R19" si="2">SUM(Q5/1.3)</f>
        <v>22873.06923076923</v>
      </c>
      <c r="S5" s="27">
        <f t="shared" ref="S5:S19" si="3">SUM(Q5-R5)</f>
        <v>6861.9207692307718</v>
      </c>
      <c r="T5" s="28"/>
      <c r="U5" s="28"/>
      <c r="V5" s="28">
        <v>500</v>
      </c>
      <c r="W5" s="28">
        <v>0</v>
      </c>
      <c r="X5" s="27">
        <f>SUM(Q5*15%)</f>
        <v>4460.2484999999997</v>
      </c>
      <c r="Y5" s="28"/>
      <c r="Z5" s="29">
        <f>SUM(O5+P5+Q5+T5+U5+V5+W5+X5+Y5)</f>
        <v>44015.308499999999</v>
      </c>
      <c r="AA5" s="29">
        <f>SUM(O5+P5+U5+V5+W5+X5+Y5)</f>
        <v>14280.318499999999</v>
      </c>
      <c r="AB5" s="30">
        <f>SUM(M5-O5-P5-U5-V5-W5-X5-Y5)</f>
        <v>2070.6815000000006</v>
      </c>
      <c r="AC5" s="31">
        <f>SUM(M5+Q5+T5)</f>
        <v>46085.990000000005</v>
      </c>
    </row>
    <row r="6" spans="1:29" s="11" customFormat="1" ht="31.9" customHeight="1">
      <c r="A6" s="18" t="s">
        <v>149</v>
      </c>
      <c r="B6" s="18" t="s">
        <v>17</v>
      </c>
      <c r="C6" s="19">
        <v>8</v>
      </c>
      <c r="D6" s="18">
        <v>0</v>
      </c>
      <c r="E6" s="18">
        <v>0</v>
      </c>
      <c r="F6" s="20">
        <v>0</v>
      </c>
      <c r="G6" s="18">
        <v>0</v>
      </c>
      <c r="H6" s="18">
        <v>0</v>
      </c>
      <c r="I6" s="21">
        <v>99510</v>
      </c>
      <c r="J6" s="22">
        <f>32+37</f>
        <v>69</v>
      </c>
      <c r="K6" s="21">
        <f t="shared" ref="K6:K19" si="4">SUM(J6*5/100)</f>
        <v>3.45</v>
      </c>
      <c r="L6" s="21">
        <f t="shared" ref="L6:L19" si="5">SUM(J6-K6)</f>
        <v>65.55</v>
      </c>
      <c r="M6" s="23">
        <v>15137</v>
      </c>
      <c r="N6" s="21">
        <f t="shared" si="0"/>
        <v>151.37</v>
      </c>
      <c r="O6" s="24">
        <f t="shared" si="1"/>
        <v>9922.3035</v>
      </c>
      <c r="P6" s="25"/>
      <c r="Q6" s="26">
        <v>29714.69</v>
      </c>
      <c r="R6" s="27">
        <f t="shared" si="2"/>
        <v>22857.453846153843</v>
      </c>
      <c r="S6" s="27">
        <f t="shared" si="3"/>
        <v>6857.2361538461555</v>
      </c>
      <c r="T6" s="28"/>
      <c r="U6" s="28"/>
      <c r="V6" s="28">
        <v>500</v>
      </c>
      <c r="W6" s="28">
        <v>0</v>
      </c>
      <c r="X6" s="27">
        <f>SUM(Q6*15%)</f>
        <v>4457.2034999999996</v>
      </c>
      <c r="Y6" s="28"/>
      <c r="Z6" s="29">
        <f>SUM(O6+P6+Q6+T6+U6+V6+W6+X6+Y6)-0.01</f>
        <v>44594.186999999998</v>
      </c>
      <c r="AA6" s="29">
        <f t="shared" ref="AA6:AA19" si="6">SUM(O6+P6+U6+V6+W6+X6+Y6)</f>
        <v>14879.507</v>
      </c>
      <c r="AB6" s="30">
        <f t="shared" ref="AB6:AB19" si="7">SUM(M6-O6-P6-U6-V6-W6-X6-Y6)</f>
        <v>257.49300000000039</v>
      </c>
      <c r="AC6" s="31">
        <f t="shared" ref="AC6:AC19" si="8">SUM(M6+Q6+T6)</f>
        <v>44851.69</v>
      </c>
    </row>
    <row r="7" spans="1:29" s="11" customFormat="1" ht="31.9" customHeight="1">
      <c r="A7" s="18" t="s">
        <v>131</v>
      </c>
      <c r="B7" s="18" t="s">
        <v>18</v>
      </c>
      <c r="C7" s="19">
        <v>16</v>
      </c>
      <c r="D7" s="18">
        <v>0</v>
      </c>
      <c r="E7" s="18">
        <v>10</v>
      </c>
      <c r="F7" s="20">
        <v>5</v>
      </c>
      <c r="G7" s="18">
        <v>0</v>
      </c>
      <c r="H7" s="18">
        <v>10</v>
      </c>
      <c r="I7" s="21">
        <v>1877</v>
      </c>
      <c r="J7" s="22">
        <f>18+17</f>
        <v>35</v>
      </c>
      <c r="K7" s="21">
        <f t="shared" si="4"/>
        <v>1.75</v>
      </c>
      <c r="L7" s="21">
        <f t="shared" si="5"/>
        <v>33.25</v>
      </c>
      <c r="M7" s="23">
        <v>2817</v>
      </c>
      <c r="N7" s="21">
        <f t="shared" si="0"/>
        <v>28.17</v>
      </c>
      <c r="O7" s="24">
        <f t="shared" si="1"/>
        <v>936.65250000000003</v>
      </c>
      <c r="P7" s="25"/>
      <c r="Q7" s="26">
        <v>17758.61</v>
      </c>
      <c r="R7" s="27">
        <f t="shared" si="2"/>
        <v>13660.469230769231</v>
      </c>
      <c r="S7" s="27">
        <f t="shared" si="3"/>
        <v>4098.1407692307694</v>
      </c>
      <c r="T7" s="28"/>
      <c r="U7" s="28"/>
      <c r="V7" s="28">
        <v>500</v>
      </c>
      <c r="W7" s="28">
        <v>0</v>
      </c>
      <c r="X7" s="27"/>
      <c r="Y7" s="28"/>
      <c r="Z7" s="29">
        <f t="shared" ref="Z7:Z16" si="9">SUM(O7+P7+Q7+T7+U7+V7+W7+X7+Y7)</f>
        <v>19195.262500000001</v>
      </c>
      <c r="AA7" s="29">
        <f t="shared" si="6"/>
        <v>1436.6525000000001</v>
      </c>
      <c r="AB7" s="30">
        <f t="shared" si="7"/>
        <v>1380.3474999999999</v>
      </c>
      <c r="AC7" s="31">
        <f t="shared" si="8"/>
        <v>20575.61</v>
      </c>
    </row>
    <row r="8" spans="1:29" s="11" customFormat="1" ht="31.9" customHeight="1">
      <c r="A8" s="18" t="s">
        <v>132</v>
      </c>
      <c r="B8" s="18" t="s">
        <v>22</v>
      </c>
      <c r="C8" s="19">
        <v>16</v>
      </c>
      <c r="D8" s="18">
        <v>0</v>
      </c>
      <c r="E8" s="18">
        <v>0</v>
      </c>
      <c r="F8" s="20">
        <v>0</v>
      </c>
      <c r="G8" s="18">
        <v>0</v>
      </c>
      <c r="H8" s="18">
        <v>0</v>
      </c>
      <c r="I8" s="21">
        <v>12345</v>
      </c>
      <c r="J8" s="22">
        <f>13+27</f>
        <v>40</v>
      </c>
      <c r="K8" s="21">
        <f t="shared" si="4"/>
        <v>2</v>
      </c>
      <c r="L8" s="21">
        <f t="shared" si="5"/>
        <v>38</v>
      </c>
      <c r="M8" s="23">
        <v>3558</v>
      </c>
      <c r="N8" s="21">
        <f t="shared" si="0"/>
        <v>35.58</v>
      </c>
      <c r="O8" s="24">
        <f t="shared" si="1"/>
        <v>1352.04</v>
      </c>
      <c r="P8" s="25"/>
      <c r="Q8" s="26">
        <v>17695.82</v>
      </c>
      <c r="R8" s="27">
        <f t="shared" si="2"/>
        <v>13612.16923076923</v>
      </c>
      <c r="S8" s="27">
        <f t="shared" si="3"/>
        <v>4083.6507692307696</v>
      </c>
      <c r="T8" s="28"/>
      <c r="U8" s="28"/>
      <c r="V8" s="28">
        <v>500</v>
      </c>
      <c r="W8" s="28">
        <v>0</v>
      </c>
      <c r="X8" s="27"/>
      <c r="Y8" s="28"/>
      <c r="Z8" s="29">
        <f t="shared" si="9"/>
        <v>19547.86</v>
      </c>
      <c r="AA8" s="29">
        <f t="shared" si="6"/>
        <v>1852.04</v>
      </c>
      <c r="AB8" s="30">
        <f t="shared" si="7"/>
        <v>1705.96</v>
      </c>
      <c r="AC8" s="31">
        <f t="shared" si="8"/>
        <v>21253.82</v>
      </c>
    </row>
    <row r="9" spans="1:29" s="11" customFormat="1" ht="31.9" customHeight="1">
      <c r="A9" s="18" t="s">
        <v>176</v>
      </c>
      <c r="B9" s="18" t="s">
        <v>19</v>
      </c>
      <c r="C9" s="19">
        <v>16</v>
      </c>
      <c r="D9" s="18">
        <v>0</v>
      </c>
      <c r="E9" s="18"/>
      <c r="F9" s="20"/>
      <c r="G9" s="18">
        <v>10</v>
      </c>
      <c r="H9" s="18">
        <v>0</v>
      </c>
      <c r="I9" s="21">
        <v>36507</v>
      </c>
      <c r="J9" s="22">
        <f>26+19</f>
        <v>45</v>
      </c>
      <c r="K9" s="21">
        <f t="shared" si="4"/>
        <v>2.25</v>
      </c>
      <c r="L9" s="21">
        <f t="shared" si="5"/>
        <v>42.75</v>
      </c>
      <c r="M9" s="23">
        <v>3564</v>
      </c>
      <c r="N9" s="21">
        <f t="shared" si="0"/>
        <v>35.64</v>
      </c>
      <c r="O9" s="24">
        <f t="shared" si="1"/>
        <v>1523.6100000000001</v>
      </c>
      <c r="P9" s="25"/>
      <c r="Q9" s="26">
        <v>28526.15</v>
      </c>
      <c r="R9" s="27">
        <f t="shared" si="2"/>
        <v>21943.192307692309</v>
      </c>
      <c r="S9" s="27">
        <f t="shared" si="3"/>
        <v>6582.9576923076929</v>
      </c>
      <c r="T9" s="28"/>
      <c r="U9" s="28"/>
      <c r="V9" s="28">
        <f>500</f>
        <v>500</v>
      </c>
      <c r="W9" s="28">
        <v>0</v>
      </c>
      <c r="X9" s="27"/>
      <c r="Y9" s="28"/>
      <c r="Z9" s="29">
        <f t="shared" si="9"/>
        <v>30549.760000000002</v>
      </c>
      <c r="AA9" s="29">
        <f t="shared" si="6"/>
        <v>2023.6100000000001</v>
      </c>
      <c r="AB9" s="30">
        <f t="shared" si="7"/>
        <v>1540.3899999999999</v>
      </c>
      <c r="AC9" s="31">
        <f t="shared" si="8"/>
        <v>32090.15</v>
      </c>
    </row>
    <row r="10" spans="1:29" s="11" customFormat="1" ht="31.9" customHeight="1">
      <c r="A10" s="18" t="s">
        <v>133</v>
      </c>
      <c r="B10" s="18" t="s">
        <v>166</v>
      </c>
      <c r="C10" s="19"/>
      <c r="D10" s="18"/>
      <c r="E10" s="18"/>
      <c r="F10" s="20"/>
      <c r="G10" s="18"/>
      <c r="H10" s="18"/>
      <c r="I10" s="21">
        <v>8847</v>
      </c>
      <c r="J10" s="22">
        <f>27+28</f>
        <v>55</v>
      </c>
      <c r="K10" s="21">
        <f t="shared" si="4"/>
        <v>2.75</v>
      </c>
      <c r="L10" s="21">
        <f t="shared" si="5"/>
        <v>52.25</v>
      </c>
      <c r="M10" s="23">
        <v>4079</v>
      </c>
      <c r="N10" s="21">
        <f t="shared" si="0"/>
        <v>40.79</v>
      </c>
      <c r="O10" s="24">
        <f t="shared" si="1"/>
        <v>2131.2775000000001</v>
      </c>
      <c r="P10" s="25"/>
      <c r="Q10" s="26">
        <v>28485.05</v>
      </c>
      <c r="R10" s="27">
        <f t="shared" si="2"/>
        <v>21911.576923076922</v>
      </c>
      <c r="S10" s="27">
        <f t="shared" si="3"/>
        <v>6573.4730769230773</v>
      </c>
      <c r="T10" s="27"/>
      <c r="U10" s="28"/>
      <c r="V10" s="28">
        <v>500</v>
      </c>
      <c r="W10" s="28">
        <v>0</v>
      </c>
      <c r="X10" s="27"/>
      <c r="Y10" s="28"/>
      <c r="Z10" s="29">
        <f t="shared" si="9"/>
        <v>31116.327499999999</v>
      </c>
      <c r="AA10" s="29">
        <f t="shared" si="6"/>
        <v>2631.2775000000001</v>
      </c>
      <c r="AB10" s="30">
        <f t="shared" si="7"/>
        <v>1447.7224999999999</v>
      </c>
      <c r="AC10" s="31">
        <f t="shared" si="8"/>
        <v>32564.05</v>
      </c>
    </row>
    <row r="11" spans="1:29" s="11" customFormat="1" ht="31.9" customHeight="1">
      <c r="A11" s="18" t="s">
        <v>134</v>
      </c>
      <c r="B11" s="18" t="s">
        <v>79</v>
      </c>
      <c r="C11" s="19">
        <v>8</v>
      </c>
      <c r="D11" s="18">
        <v>0</v>
      </c>
      <c r="E11" s="18">
        <v>0</v>
      </c>
      <c r="F11" s="20">
        <v>0</v>
      </c>
      <c r="G11" s="18">
        <v>0</v>
      </c>
      <c r="H11" s="18">
        <v>10</v>
      </c>
      <c r="I11" s="21">
        <v>9705</v>
      </c>
      <c r="J11" s="22">
        <f>45+21</f>
        <v>66</v>
      </c>
      <c r="K11" s="21">
        <f t="shared" si="4"/>
        <v>3.3</v>
      </c>
      <c r="L11" s="21">
        <f t="shared" si="5"/>
        <v>62.7</v>
      </c>
      <c r="M11" s="23">
        <v>4127</v>
      </c>
      <c r="N11" s="21">
        <f>SUM(M11/100)</f>
        <v>41.27</v>
      </c>
      <c r="O11" s="24">
        <f>SUM(N11*L11)</f>
        <v>2587.6290000000004</v>
      </c>
      <c r="P11" s="25"/>
      <c r="Q11" s="26">
        <v>28980.69</v>
      </c>
      <c r="R11" s="27">
        <f t="shared" si="2"/>
        <v>22292.83846153846</v>
      </c>
      <c r="S11" s="27">
        <f t="shared" si="3"/>
        <v>6687.8515384615384</v>
      </c>
      <c r="T11" s="27">
        <f>SUM(Q11*10%)</f>
        <v>2898.069</v>
      </c>
      <c r="U11" s="28"/>
      <c r="V11" s="28">
        <f>500</f>
        <v>500</v>
      </c>
      <c r="W11" s="28">
        <v>0</v>
      </c>
      <c r="X11" s="27"/>
      <c r="Y11" s="28"/>
      <c r="Z11" s="29">
        <f t="shared" si="9"/>
        <v>34966.387999999999</v>
      </c>
      <c r="AA11" s="29">
        <f t="shared" si="6"/>
        <v>3087.6290000000004</v>
      </c>
      <c r="AB11" s="30">
        <f t="shared" si="7"/>
        <v>1039.3709999999996</v>
      </c>
      <c r="AC11" s="31">
        <f t="shared" si="8"/>
        <v>36005.759000000005</v>
      </c>
    </row>
    <row r="12" spans="1:29" s="11" customFormat="1" ht="31.9" customHeight="1">
      <c r="A12" s="18" t="s">
        <v>135</v>
      </c>
      <c r="B12" s="18" t="s">
        <v>20</v>
      </c>
      <c r="C12" s="19">
        <v>16</v>
      </c>
      <c r="D12" s="18">
        <v>0</v>
      </c>
      <c r="E12" s="18">
        <v>0</v>
      </c>
      <c r="F12" s="20">
        <v>0</v>
      </c>
      <c r="G12" s="18">
        <v>0</v>
      </c>
      <c r="H12" s="18">
        <v>0</v>
      </c>
      <c r="I12" s="21">
        <v>6728</v>
      </c>
      <c r="J12" s="22">
        <f>41+9</f>
        <v>50</v>
      </c>
      <c r="K12" s="21">
        <f t="shared" si="4"/>
        <v>2.5</v>
      </c>
      <c r="L12" s="21">
        <f t="shared" si="5"/>
        <v>47.5</v>
      </c>
      <c r="M12" s="23">
        <v>2819</v>
      </c>
      <c r="N12" s="21">
        <f t="shared" si="0"/>
        <v>28.19</v>
      </c>
      <c r="O12" s="24">
        <f t="shared" si="1"/>
        <v>1339.0250000000001</v>
      </c>
      <c r="P12" s="25"/>
      <c r="Q12" s="26">
        <v>24709.31</v>
      </c>
      <c r="R12" s="27">
        <f t="shared" si="2"/>
        <v>19007.16153846154</v>
      </c>
      <c r="S12" s="27">
        <f t="shared" si="3"/>
        <v>5702.1484615384616</v>
      </c>
      <c r="T12" s="27"/>
      <c r="U12" s="28"/>
      <c r="V12" s="28">
        <f>500</f>
        <v>500</v>
      </c>
      <c r="W12" s="28">
        <v>0</v>
      </c>
      <c r="X12" s="27"/>
      <c r="Y12" s="28"/>
      <c r="Z12" s="29">
        <f t="shared" si="9"/>
        <v>26548.335000000003</v>
      </c>
      <c r="AA12" s="29">
        <f t="shared" si="6"/>
        <v>1839.0250000000001</v>
      </c>
      <c r="AB12" s="30">
        <f t="shared" si="7"/>
        <v>979.97499999999991</v>
      </c>
      <c r="AC12" s="31">
        <f t="shared" si="8"/>
        <v>27528.31</v>
      </c>
    </row>
    <row r="13" spans="1:29" s="11" customFormat="1" ht="31.9" customHeight="1">
      <c r="A13" s="18" t="s">
        <v>136</v>
      </c>
      <c r="B13" s="18" t="s">
        <v>21</v>
      </c>
      <c r="C13" s="19">
        <v>24</v>
      </c>
      <c r="D13" s="18">
        <v>0</v>
      </c>
      <c r="E13" s="18">
        <v>10</v>
      </c>
      <c r="F13" s="20">
        <v>0</v>
      </c>
      <c r="G13" s="18">
        <v>0</v>
      </c>
      <c r="H13" s="18">
        <v>10</v>
      </c>
      <c r="I13" s="21">
        <v>88469</v>
      </c>
      <c r="J13" s="22">
        <f>29+21</f>
        <v>50</v>
      </c>
      <c r="K13" s="21">
        <f t="shared" si="4"/>
        <v>2.5</v>
      </c>
      <c r="L13" s="21">
        <f t="shared" si="5"/>
        <v>47.5</v>
      </c>
      <c r="M13" s="23">
        <v>26349</v>
      </c>
      <c r="N13" s="21">
        <f t="shared" si="0"/>
        <v>263.49</v>
      </c>
      <c r="O13" s="27">
        <f t="shared" si="1"/>
        <v>12515.775</v>
      </c>
      <c r="P13" s="32"/>
      <c r="Q13" s="33">
        <v>33907.269999999997</v>
      </c>
      <c r="R13" s="27">
        <f t="shared" si="2"/>
        <v>26082.515384615381</v>
      </c>
      <c r="S13" s="27">
        <f t="shared" si="3"/>
        <v>7824.754615384616</v>
      </c>
      <c r="T13" s="27">
        <f>SUM(Q13*10%)</f>
        <v>3390.7269999999999</v>
      </c>
      <c r="U13" s="28"/>
      <c r="V13" s="28">
        <v>500</v>
      </c>
      <c r="W13" s="28">
        <v>0</v>
      </c>
      <c r="X13" s="27">
        <f>SUM(Q13*15%)</f>
        <v>5086.0904999999993</v>
      </c>
      <c r="Y13" s="28"/>
      <c r="Z13" s="29">
        <f>SUM(O13+P13+Q13+T13+U13+V13+W13+X13+Y13)+0.01</f>
        <v>55399.872499999998</v>
      </c>
      <c r="AA13" s="29">
        <f t="shared" si="6"/>
        <v>18101.8655</v>
      </c>
      <c r="AB13" s="30">
        <f t="shared" si="7"/>
        <v>8247.1345000000001</v>
      </c>
      <c r="AC13" s="31">
        <f t="shared" si="8"/>
        <v>63646.996999999996</v>
      </c>
    </row>
    <row r="14" spans="1:29" s="11" customFormat="1" ht="31.9" customHeight="1">
      <c r="A14" s="18" t="s">
        <v>137</v>
      </c>
      <c r="B14" s="18" t="s">
        <v>114</v>
      </c>
      <c r="C14" s="19">
        <v>8</v>
      </c>
      <c r="D14" s="18">
        <v>0</v>
      </c>
      <c r="E14" s="18">
        <v>0</v>
      </c>
      <c r="F14" s="20">
        <v>0</v>
      </c>
      <c r="G14" s="18">
        <v>0</v>
      </c>
      <c r="H14" s="18">
        <v>0</v>
      </c>
      <c r="I14" s="21">
        <v>33948</v>
      </c>
      <c r="J14" s="22">
        <f>22+25</f>
        <v>47</v>
      </c>
      <c r="K14" s="21">
        <f t="shared" si="4"/>
        <v>2.35</v>
      </c>
      <c r="L14" s="21">
        <f t="shared" si="5"/>
        <v>44.65</v>
      </c>
      <c r="M14" s="23">
        <v>3591</v>
      </c>
      <c r="N14" s="21">
        <f t="shared" si="0"/>
        <v>35.909999999999997</v>
      </c>
      <c r="O14" s="24">
        <f t="shared" si="1"/>
        <v>1603.3814999999997</v>
      </c>
      <c r="P14" s="25"/>
      <c r="Q14" s="26">
        <v>25383.74</v>
      </c>
      <c r="R14" s="27">
        <f t="shared" si="2"/>
        <v>19525.953846153847</v>
      </c>
      <c r="S14" s="27">
        <f t="shared" si="3"/>
        <v>5857.7861538461548</v>
      </c>
      <c r="T14" s="27"/>
      <c r="U14" s="28"/>
      <c r="V14" s="28">
        <v>500</v>
      </c>
      <c r="W14" s="28">
        <v>0</v>
      </c>
      <c r="X14" s="27"/>
      <c r="Y14" s="28"/>
      <c r="Z14" s="29">
        <f t="shared" si="9"/>
        <v>27487.121500000001</v>
      </c>
      <c r="AA14" s="29">
        <f t="shared" si="6"/>
        <v>2103.3814999999995</v>
      </c>
      <c r="AB14" s="30">
        <f t="shared" si="7"/>
        <v>1487.6185000000003</v>
      </c>
      <c r="AC14" s="31">
        <f t="shared" si="8"/>
        <v>28974.74</v>
      </c>
    </row>
    <row r="15" spans="1:29" s="11" customFormat="1" ht="31.9" customHeight="1">
      <c r="A15" s="18" t="s">
        <v>177</v>
      </c>
      <c r="B15" s="18" t="s">
        <v>120</v>
      </c>
      <c r="C15" s="19">
        <v>24</v>
      </c>
      <c r="D15" s="18">
        <v>0</v>
      </c>
      <c r="E15" s="18">
        <v>0</v>
      </c>
      <c r="F15" s="20">
        <v>0</v>
      </c>
      <c r="G15" s="18">
        <v>10</v>
      </c>
      <c r="H15" s="18">
        <v>0</v>
      </c>
      <c r="I15" s="21">
        <v>42337</v>
      </c>
      <c r="J15" s="22">
        <f>26+19</f>
        <v>45</v>
      </c>
      <c r="K15" s="21">
        <f t="shared" si="4"/>
        <v>2.25</v>
      </c>
      <c r="L15" s="21">
        <f t="shared" si="5"/>
        <v>42.75</v>
      </c>
      <c r="M15" s="23">
        <v>5456</v>
      </c>
      <c r="N15" s="21">
        <f t="shared" si="0"/>
        <v>54.56</v>
      </c>
      <c r="O15" s="24">
        <f t="shared" si="1"/>
        <v>2332.44</v>
      </c>
      <c r="P15" s="25"/>
      <c r="Q15" s="26">
        <v>21688.83</v>
      </c>
      <c r="R15" s="27">
        <f t="shared" si="2"/>
        <v>16683.715384615385</v>
      </c>
      <c r="S15" s="27">
        <f t="shared" si="3"/>
        <v>5005.1146153846166</v>
      </c>
      <c r="T15" s="27"/>
      <c r="U15" s="23"/>
      <c r="V15" s="28">
        <v>500</v>
      </c>
      <c r="W15" s="28">
        <v>0</v>
      </c>
      <c r="X15" s="27"/>
      <c r="Y15" s="28"/>
      <c r="Z15" s="29">
        <f t="shared" si="9"/>
        <v>24521.27</v>
      </c>
      <c r="AA15" s="29">
        <f t="shared" si="6"/>
        <v>2832.44</v>
      </c>
      <c r="AB15" s="30">
        <f t="shared" si="7"/>
        <v>2623.56</v>
      </c>
      <c r="AC15" s="31">
        <f t="shared" si="8"/>
        <v>27144.83</v>
      </c>
    </row>
    <row r="16" spans="1:29" s="11" customFormat="1" ht="31.9" customHeight="1" thickBot="1">
      <c r="A16" s="34" t="s">
        <v>138</v>
      </c>
      <c r="B16" s="34" t="s">
        <v>23</v>
      </c>
      <c r="C16" s="35">
        <v>8</v>
      </c>
      <c r="D16" s="34">
        <v>0</v>
      </c>
      <c r="E16" s="34">
        <v>0</v>
      </c>
      <c r="F16" s="36">
        <v>0</v>
      </c>
      <c r="G16" s="34">
        <v>0</v>
      </c>
      <c r="H16" s="34">
        <v>0</v>
      </c>
      <c r="I16" s="37">
        <v>23812</v>
      </c>
      <c r="J16" s="38">
        <f>29+29</f>
        <v>58</v>
      </c>
      <c r="K16" s="21">
        <f t="shared" si="4"/>
        <v>2.9</v>
      </c>
      <c r="L16" s="21">
        <f t="shared" si="5"/>
        <v>55.1</v>
      </c>
      <c r="M16" s="37">
        <v>3639</v>
      </c>
      <c r="N16" s="37">
        <f t="shared" si="0"/>
        <v>36.39</v>
      </c>
      <c r="O16" s="39">
        <f t="shared" si="1"/>
        <v>2005.0890000000002</v>
      </c>
      <c r="P16" s="40"/>
      <c r="Q16" s="41">
        <v>26654.62</v>
      </c>
      <c r="R16" s="27">
        <f t="shared" si="2"/>
        <v>20503.553846153845</v>
      </c>
      <c r="S16" s="27">
        <f t="shared" si="3"/>
        <v>6151.0661538461536</v>
      </c>
      <c r="T16" s="42"/>
      <c r="U16" s="43"/>
      <c r="V16" s="28">
        <v>500</v>
      </c>
      <c r="W16" s="40">
        <v>0</v>
      </c>
      <c r="X16" s="44"/>
      <c r="Y16" s="45"/>
      <c r="Z16" s="29">
        <f t="shared" si="9"/>
        <v>29159.708999999999</v>
      </c>
      <c r="AA16" s="29">
        <f t="shared" si="6"/>
        <v>2505.0889999999999</v>
      </c>
      <c r="AB16" s="30">
        <f t="shared" si="7"/>
        <v>1133.9109999999998</v>
      </c>
      <c r="AC16" s="31">
        <f t="shared" si="8"/>
        <v>30293.62</v>
      </c>
    </row>
    <row r="17" spans="1:29" s="11" customFormat="1" ht="38.25" customHeight="1">
      <c r="A17" s="51" t="s">
        <v>178</v>
      </c>
      <c r="B17" s="46" t="s">
        <v>125</v>
      </c>
      <c r="C17" s="47">
        <v>32</v>
      </c>
      <c r="D17" s="46">
        <v>5</v>
      </c>
      <c r="E17" s="46">
        <v>10</v>
      </c>
      <c r="F17" s="48">
        <v>0</v>
      </c>
      <c r="G17" s="46">
        <v>10</v>
      </c>
      <c r="H17" s="46">
        <v>10</v>
      </c>
      <c r="I17" s="21">
        <v>42791</v>
      </c>
      <c r="J17" s="22">
        <f>49+36</f>
        <v>85</v>
      </c>
      <c r="K17" s="21">
        <f t="shared" si="4"/>
        <v>4.25</v>
      </c>
      <c r="L17" s="21">
        <f t="shared" si="5"/>
        <v>80.75</v>
      </c>
      <c r="M17" s="21">
        <v>31996</v>
      </c>
      <c r="N17" s="21">
        <f t="shared" si="0"/>
        <v>319.95999999999998</v>
      </c>
      <c r="O17" s="24">
        <f t="shared" si="1"/>
        <v>25836.769999999997</v>
      </c>
      <c r="P17" s="28"/>
      <c r="Q17" s="27">
        <v>41789.870000000003</v>
      </c>
      <c r="R17" s="27">
        <f t="shared" si="2"/>
        <v>32146.053846153845</v>
      </c>
      <c r="S17" s="27">
        <f t="shared" si="3"/>
        <v>9643.8161538461572</v>
      </c>
      <c r="T17" s="27">
        <f>SUM(Q17*10%)</f>
        <v>4178.9870000000001</v>
      </c>
      <c r="U17" s="28"/>
      <c r="V17" s="28">
        <v>0</v>
      </c>
      <c r="W17" s="28">
        <v>0</v>
      </c>
      <c r="X17" s="27"/>
      <c r="Y17" s="28">
        <f>SUM(Q17*20%)-2198.74</f>
        <v>6159.2340000000004</v>
      </c>
      <c r="Z17" s="29">
        <f>SUM(O17+P17+Q17+T17+U17+V17+W17+X17+Y17)</f>
        <v>77964.86099999999</v>
      </c>
      <c r="AA17" s="29">
        <f t="shared" si="6"/>
        <v>31996.003999999997</v>
      </c>
      <c r="AB17" s="30">
        <f t="shared" si="7"/>
        <v>-3.9999999971769284E-3</v>
      </c>
      <c r="AC17" s="31">
        <f t="shared" si="8"/>
        <v>77964.856999999989</v>
      </c>
    </row>
    <row r="18" spans="1:29" s="11" customFormat="1" ht="31.9" customHeight="1">
      <c r="A18" s="18" t="s">
        <v>179</v>
      </c>
      <c r="B18" s="49" t="s">
        <v>146</v>
      </c>
      <c r="C18" s="19"/>
      <c r="D18" s="18"/>
      <c r="E18" s="18"/>
      <c r="F18" s="20"/>
      <c r="G18" s="18"/>
      <c r="H18" s="18"/>
      <c r="I18" s="21">
        <v>65105</v>
      </c>
      <c r="J18" s="22">
        <f>53+11</f>
        <v>64</v>
      </c>
      <c r="K18" s="21">
        <f t="shared" si="4"/>
        <v>3.2</v>
      </c>
      <c r="L18" s="21">
        <f t="shared" si="5"/>
        <v>60.8</v>
      </c>
      <c r="M18" s="23">
        <v>26819</v>
      </c>
      <c r="N18" s="21">
        <f t="shared" si="0"/>
        <v>268.19</v>
      </c>
      <c r="O18" s="24">
        <f t="shared" si="1"/>
        <v>16305.951999999999</v>
      </c>
      <c r="P18" s="25"/>
      <c r="Q18" s="26">
        <v>37107.300000000003</v>
      </c>
      <c r="R18" s="27">
        <f t="shared" si="2"/>
        <v>28544.076923076926</v>
      </c>
      <c r="S18" s="27">
        <f t="shared" si="3"/>
        <v>8563.2230769230773</v>
      </c>
      <c r="T18" s="28"/>
      <c r="U18" s="28"/>
      <c r="V18" s="28">
        <v>0</v>
      </c>
      <c r="W18" s="28">
        <v>0</v>
      </c>
      <c r="X18" s="28"/>
      <c r="Y18" s="27">
        <f>SUM(Q18*20%)</f>
        <v>7421.4600000000009</v>
      </c>
      <c r="Z18" s="29">
        <f>SUM(O18+P18+Q18+T18+U18+V18+W18+X18+Y18)</f>
        <v>60834.712</v>
      </c>
      <c r="AA18" s="29">
        <f t="shared" si="6"/>
        <v>23727.412</v>
      </c>
      <c r="AB18" s="30">
        <f>SUM(M18-O18-P18-U18-V18-W18-X18-Y18)</f>
        <v>3091.5879999999997</v>
      </c>
      <c r="AC18" s="31">
        <f t="shared" si="8"/>
        <v>63926.3</v>
      </c>
    </row>
    <row r="19" spans="1:29" s="11" customFormat="1" ht="31.9" customHeight="1">
      <c r="A19" s="18" t="s">
        <v>180</v>
      </c>
      <c r="B19" s="18" t="s">
        <v>169</v>
      </c>
      <c r="C19" s="19">
        <v>16</v>
      </c>
      <c r="D19" s="18">
        <v>5</v>
      </c>
      <c r="E19" s="18">
        <v>10</v>
      </c>
      <c r="F19" s="20">
        <v>0</v>
      </c>
      <c r="G19" s="18">
        <v>10</v>
      </c>
      <c r="H19" s="18">
        <v>10</v>
      </c>
      <c r="I19" s="21">
        <v>179267</v>
      </c>
      <c r="J19" s="22">
        <f>60+22</f>
        <v>82</v>
      </c>
      <c r="K19" s="21">
        <f t="shared" si="4"/>
        <v>4.0999999999999996</v>
      </c>
      <c r="L19" s="21">
        <f t="shared" si="5"/>
        <v>77.900000000000006</v>
      </c>
      <c r="M19" s="50">
        <v>37270</v>
      </c>
      <c r="N19" s="21">
        <f t="shared" si="0"/>
        <v>372.7</v>
      </c>
      <c r="O19" s="24">
        <f t="shared" si="1"/>
        <v>29033.33</v>
      </c>
      <c r="P19" s="25"/>
      <c r="Q19" s="26">
        <v>34911.03</v>
      </c>
      <c r="R19" s="27">
        <f t="shared" si="2"/>
        <v>26854.63846153846</v>
      </c>
      <c r="S19" s="27">
        <f t="shared" si="3"/>
        <v>8056.3915384615393</v>
      </c>
      <c r="T19" s="28"/>
      <c r="U19" s="28"/>
      <c r="V19" s="28">
        <v>0</v>
      </c>
      <c r="W19" s="28">
        <v>0</v>
      </c>
      <c r="X19" s="28"/>
      <c r="Y19" s="27">
        <f>SUM(Q19*20%)</f>
        <v>6982.2060000000001</v>
      </c>
      <c r="Z19" s="29">
        <f>SUM(O19+P19+Q19+T19+U19+V19+W19+X19+Y19)</f>
        <v>70926.566000000006</v>
      </c>
      <c r="AA19" s="29">
        <f t="shared" si="6"/>
        <v>36015.536</v>
      </c>
      <c r="AB19" s="30">
        <f t="shared" si="7"/>
        <v>1254.4639999999981</v>
      </c>
      <c r="AC19" s="31">
        <f t="shared" si="8"/>
        <v>72181.03</v>
      </c>
    </row>
    <row r="20" spans="1:29" s="11" customFormat="1"/>
    <row r="21" spans="1:29" s="11" customFormat="1"/>
    <row r="22" spans="1:29" s="11" customFormat="1"/>
    <row r="23" spans="1:29" s="11" customFormat="1"/>
    <row r="24" spans="1:29" s="11" customFormat="1"/>
    <row r="25" spans="1:29" s="11" customFormat="1"/>
    <row r="26" spans="1:29" s="11" customFormat="1"/>
    <row r="27" spans="1:29" s="11" customFormat="1"/>
    <row r="28" spans="1:29" s="11" customFormat="1"/>
    <row r="29" spans="1:29" s="11" customFormat="1"/>
    <row r="30" spans="1:29" s="11" customFormat="1"/>
    <row r="31" spans="1:29" s="11" customFormat="1"/>
    <row r="32" spans="1:29" s="11" customFormat="1"/>
    <row r="33" spans="2:29" s="11" customFormat="1"/>
    <row r="34" spans="2:29" s="11" customFormat="1"/>
    <row r="35" spans="2:29" s="11" customFormat="1"/>
    <row r="36" spans="2:29" s="11" customFormat="1"/>
    <row r="37" spans="2:29" s="11" customFormat="1"/>
    <row r="38" spans="2:29" s="11" customFormat="1"/>
    <row r="39" spans="2:29" s="11" customFormat="1"/>
    <row r="40" spans="2:29" s="11" customFormat="1"/>
    <row r="41" spans="2:29" s="11" customFormat="1"/>
    <row r="42" spans="2:29" s="11" customFormat="1"/>
    <row r="43" spans="2:29" s="11" customFormat="1"/>
    <row r="44" spans="2:29" s="11" customFormat="1"/>
    <row r="45" spans="2:29" s="11" customFormat="1"/>
    <row r="46" spans="2:29" s="11" customFormat="1"/>
    <row r="47" spans="2:29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</sheetData>
  <mergeCells count="19">
    <mergeCell ref="A1:I1"/>
    <mergeCell ref="M3:M4"/>
    <mergeCell ref="N3:N4"/>
    <mergeCell ref="C3:D3"/>
    <mergeCell ref="E3:H3"/>
    <mergeCell ref="I3:I4"/>
    <mergeCell ref="J3:J4"/>
    <mergeCell ref="K3:K4"/>
    <mergeCell ref="L3:L4"/>
    <mergeCell ref="O3:O4"/>
    <mergeCell ref="AA3:AA4"/>
    <mergeCell ref="AB3:AB4"/>
    <mergeCell ref="AC3:AC4"/>
    <mergeCell ref="Q3:S3"/>
    <mergeCell ref="T3:T4"/>
    <mergeCell ref="U3:U4"/>
    <mergeCell ref="W3:W4"/>
    <mergeCell ref="X3:X4"/>
    <mergeCell ref="Y3:Y4"/>
  </mergeCells>
  <phoneticPr fontId="23" type="noConversion"/>
  <pageMargins left="0.19685039370078741" right="0.19685039370078741" top="1.1417322834645669" bottom="0.74803149606299213" header="0.31496062992125984" footer="0.31496062992125984"/>
  <pageSetup paperSize="9" scale="6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X33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T2" sqref="T2"/>
    </sheetView>
  </sheetViews>
  <sheetFormatPr defaultRowHeight="15"/>
  <cols>
    <col min="1" max="1" width="35.85546875" customWidth="1"/>
    <col min="2" max="2" width="26.4257812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12" customWidth="1"/>
    <col min="10" max="12" width="7.42578125" customWidth="1"/>
    <col min="13" max="13" width="5.28515625" customWidth="1"/>
    <col min="14" max="14" width="11.140625" customWidth="1"/>
    <col min="15" max="15" width="13.140625" customWidth="1"/>
    <col min="16" max="16" width="13.42578125" customWidth="1"/>
    <col min="17" max="17" width="10.140625" customWidth="1"/>
    <col min="19" max="19" width="11.5703125" customWidth="1"/>
    <col min="20" max="21" width="12.28515625" customWidth="1"/>
    <col min="22" max="22" width="12.7109375" hidden="1" customWidth="1"/>
    <col min="23" max="23" width="12.28515625" hidden="1" customWidth="1"/>
    <col min="24" max="24" width="11.5703125" hidden="1" customWidth="1"/>
  </cols>
  <sheetData>
    <row r="2" spans="1:24" ht="55.5" customHeight="1" thickBot="1">
      <c r="A2" s="169" t="s">
        <v>175</v>
      </c>
      <c r="B2" s="170"/>
      <c r="C2" s="170"/>
      <c r="D2" s="1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ht="15.75" hidden="1" customHeight="1" thickBot="1">
      <c r="A3" t="s">
        <v>2</v>
      </c>
    </row>
    <row r="4" spans="1:24" s="11" customFormat="1" ht="54" customHeight="1">
      <c r="A4" s="52" t="s">
        <v>0</v>
      </c>
      <c r="B4" s="52" t="s">
        <v>1</v>
      </c>
      <c r="C4" s="171" t="s">
        <v>141</v>
      </c>
      <c r="D4" s="171" t="s">
        <v>142</v>
      </c>
      <c r="E4" s="171" t="s">
        <v>172</v>
      </c>
      <c r="F4" s="176" t="s">
        <v>144</v>
      </c>
      <c r="G4" s="53" t="s">
        <v>12</v>
      </c>
      <c r="H4" s="9" t="s">
        <v>13</v>
      </c>
      <c r="I4" s="9" t="s">
        <v>14</v>
      </c>
      <c r="J4" s="9" t="s">
        <v>69</v>
      </c>
      <c r="K4" s="9" t="s">
        <v>82</v>
      </c>
      <c r="L4" s="9" t="s">
        <v>83</v>
      </c>
      <c r="M4" s="8" t="s">
        <v>87</v>
      </c>
      <c r="N4" s="163" t="s">
        <v>109</v>
      </c>
      <c r="O4" s="163"/>
      <c r="P4" s="163"/>
      <c r="Q4" s="163" t="s">
        <v>113</v>
      </c>
      <c r="R4" s="178" t="s">
        <v>73</v>
      </c>
      <c r="S4" s="167" t="s">
        <v>122</v>
      </c>
      <c r="T4" s="167" t="s">
        <v>123</v>
      </c>
      <c r="U4" s="10" t="s">
        <v>15</v>
      </c>
      <c r="V4" s="161" t="s">
        <v>139</v>
      </c>
      <c r="W4" s="163" t="s">
        <v>70</v>
      </c>
      <c r="X4" s="164" t="s">
        <v>148</v>
      </c>
    </row>
    <row r="5" spans="1:24" s="11" customFormat="1" ht="45" customHeight="1" thickBot="1">
      <c r="A5" s="54"/>
      <c r="B5" s="54"/>
      <c r="C5" s="172"/>
      <c r="D5" s="172"/>
      <c r="E5" s="172"/>
      <c r="F5" s="177"/>
      <c r="G5" s="55"/>
      <c r="H5" s="55"/>
      <c r="I5" s="55"/>
      <c r="J5" s="16"/>
      <c r="K5" s="16"/>
      <c r="L5" s="16"/>
      <c r="M5" s="16"/>
      <c r="N5" s="17" t="s">
        <v>110</v>
      </c>
      <c r="O5" s="17" t="s">
        <v>111</v>
      </c>
      <c r="P5" s="17" t="s">
        <v>112</v>
      </c>
      <c r="Q5" s="163"/>
      <c r="R5" s="179"/>
      <c r="S5" s="167"/>
      <c r="T5" s="167"/>
      <c r="U5" s="10"/>
      <c r="V5" s="162"/>
      <c r="W5" s="163"/>
      <c r="X5" s="164"/>
    </row>
    <row r="6" spans="1:24" s="11" customFormat="1" ht="29.45" customHeight="1">
      <c r="A6" s="18" t="s">
        <v>150</v>
      </c>
      <c r="B6" s="23" t="s">
        <v>64</v>
      </c>
      <c r="C6" s="21"/>
      <c r="D6" s="22">
        <f>48-6-4</f>
        <v>38</v>
      </c>
      <c r="E6" s="21"/>
      <c r="F6" s="21">
        <f>SUM(D6-E6)</f>
        <v>38</v>
      </c>
      <c r="G6" s="23">
        <v>11377</v>
      </c>
      <c r="H6" s="21">
        <f>SUM(G6/100)</f>
        <v>113.77</v>
      </c>
      <c r="I6" s="24">
        <f>SUM(H6*F6)</f>
        <v>4323.26</v>
      </c>
      <c r="J6" s="25"/>
      <c r="K6" s="25"/>
      <c r="L6" s="25">
        <v>500</v>
      </c>
      <c r="M6" s="25">
        <v>500</v>
      </c>
      <c r="N6" s="26">
        <v>27623.57</v>
      </c>
      <c r="O6" s="27">
        <f>SUM(N6/1.3)</f>
        <v>21248.899999999998</v>
      </c>
      <c r="P6" s="27">
        <f>SUM(N6-O6)</f>
        <v>6374.6700000000019</v>
      </c>
      <c r="Q6" s="27"/>
      <c r="R6" s="28">
        <v>0</v>
      </c>
      <c r="S6" s="44"/>
      <c r="T6" s="44"/>
      <c r="U6" s="56">
        <f>SUM(I6+J6+K6+L6+M6+N6+Q6+R6+S6+T6)</f>
        <v>32946.83</v>
      </c>
      <c r="V6" s="56">
        <f>SUM(I6+J6+K6+L6+M6+R6+S6+T6)</f>
        <v>5323.26</v>
      </c>
      <c r="W6" s="57">
        <f>SUM(G6-I6-J6-K6-L6-M6-R6-S6-T6)</f>
        <v>6053.74</v>
      </c>
      <c r="X6" s="31">
        <f>SUM(G6+N6+Q6)</f>
        <v>39000.57</v>
      </c>
    </row>
    <row r="7" spans="1:24" s="11" customFormat="1" ht="29.45" customHeight="1">
      <c r="A7" s="18" t="s">
        <v>151</v>
      </c>
      <c r="B7" s="23" t="s">
        <v>65</v>
      </c>
      <c r="C7" s="21"/>
      <c r="D7" s="22">
        <f>33+9+4</f>
        <v>46</v>
      </c>
      <c r="E7" s="21"/>
      <c r="F7" s="21">
        <f t="shared" ref="F7:F20" si="0">SUM(D7-E7)</f>
        <v>46</v>
      </c>
      <c r="G7" s="23">
        <v>10565</v>
      </c>
      <c r="H7" s="21">
        <f t="shared" ref="H7:H20" si="1">SUM(G7/100)</f>
        <v>105.65</v>
      </c>
      <c r="I7" s="24">
        <f t="shared" ref="I7:I20" si="2">SUM(H7*F7)</f>
        <v>4859.9000000000005</v>
      </c>
      <c r="J7" s="25"/>
      <c r="K7" s="25"/>
      <c r="L7" s="25">
        <v>800</v>
      </c>
      <c r="M7" s="25">
        <v>500</v>
      </c>
      <c r="N7" s="26">
        <v>31021.5</v>
      </c>
      <c r="O7" s="27">
        <f t="shared" ref="O7:O20" si="3">SUM(N7/1.3)</f>
        <v>23862.692307692309</v>
      </c>
      <c r="P7" s="27">
        <f t="shared" ref="P7:P20" si="4">SUM(N7-O7)</f>
        <v>7158.8076923076915</v>
      </c>
      <c r="Q7" s="27"/>
      <c r="R7" s="28">
        <v>0</v>
      </c>
      <c r="S7" s="44"/>
      <c r="T7" s="44"/>
      <c r="U7" s="56">
        <f>SUM(I7+J7+K7+L7+M7+N7+Q7+R7+S7+T7)</f>
        <v>37181.4</v>
      </c>
      <c r="V7" s="56">
        <f t="shared" ref="V7:V20" si="5">SUM(I7+J7+K7+L7+M7+R7+S7+T7)</f>
        <v>6159.9000000000005</v>
      </c>
      <c r="W7" s="57">
        <f t="shared" ref="W7:W20" si="6">SUM(G7-I7-J7-K7-L7-M7-R7-S7-T7)</f>
        <v>4405.0999999999995</v>
      </c>
      <c r="X7" s="31">
        <f t="shared" ref="X7:X20" si="7">SUM(G7+N7+Q7)</f>
        <v>41586.5</v>
      </c>
    </row>
    <row r="8" spans="1:24" s="11" customFormat="1" ht="29.45" customHeight="1">
      <c r="A8" s="18" t="s">
        <v>152</v>
      </c>
      <c r="B8" s="23" t="s">
        <v>170</v>
      </c>
      <c r="C8" s="21">
        <v>69873</v>
      </c>
      <c r="D8" s="22">
        <f>46-2+2</f>
        <v>46</v>
      </c>
      <c r="E8" s="21">
        <f>SUM(D8*5/100)</f>
        <v>2.2999999999999998</v>
      </c>
      <c r="F8" s="21">
        <f t="shared" si="0"/>
        <v>43.7</v>
      </c>
      <c r="G8" s="23">
        <v>23029</v>
      </c>
      <c r="H8" s="21">
        <f t="shared" si="1"/>
        <v>230.29</v>
      </c>
      <c r="I8" s="24">
        <f t="shared" si="2"/>
        <v>10063.673000000001</v>
      </c>
      <c r="J8" s="25"/>
      <c r="K8" s="25">
        <v>800</v>
      </c>
      <c r="L8" s="25">
        <v>500</v>
      </c>
      <c r="M8" s="25">
        <v>500</v>
      </c>
      <c r="N8" s="26">
        <v>42418.63</v>
      </c>
      <c r="O8" s="27">
        <f t="shared" si="3"/>
        <v>32629.715384615381</v>
      </c>
      <c r="P8" s="27">
        <f t="shared" si="4"/>
        <v>9788.9146153846159</v>
      </c>
      <c r="Q8" s="27"/>
      <c r="R8" s="28">
        <v>0</v>
      </c>
      <c r="S8" s="44">
        <f>SUM(N8*15%)</f>
        <v>6362.7944999999991</v>
      </c>
      <c r="T8" s="44"/>
      <c r="U8" s="56">
        <f>SUM(I8+J8+K8+L8+M8+N8+Q8+R8+S8+T8)-0.01</f>
        <v>60645.087499999994</v>
      </c>
      <c r="V8" s="56">
        <f t="shared" si="5"/>
        <v>18226.467499999999</v>
      </c>
      <c r="W8" s="57">
        <f t="shared" si="6"/>
        <v>4802.5325000000003</v>
      </c>
      <c r="X8" s="31">
        <f t="shared" si="7"/>
        <v>65447.63</v>
      </c>
    </row>
    <row r="9" spans="1:24" s="11" customFormat="1" ht="29.45" customHeight="1">
      <c r="A9" s="18" t="s">
        <v>153</v>
      </c>
      <c r="B9" s="32" t="s">
        <v>121</v>
      </c>
      <c r="C9" s="21">
        <v>29032</v>
      </c>
      <c r="D9" s="22">
        <f>33-2</f>
        <v>31</v>
      </c>
      <c r="E9" s="21">
        <f>SUM(D9*5/100)</f>
        <v>1.55</v>
      </c>
      <c r="F9" s="21">
        <f t="shared" si="0"/>
        <v>29.45</v>
      </c>
      <c r="G9" s="23">
        <v>20379</v>
      </c>
      <c r="H9" s="21">
        <f t="shared" si="1"/>
        <v>203.79</v>
      </c>
      <c r="I9" s="24">
        <f t="shared" si="2"/>
        <v>6001.6154999999999</v>
      </c>
      <c r="J9" s="25"/>
      <c r="K9" s="25">
        <f>800</f>
        <v>800</v>
      </c>
      <c r="L9" s="25">
        <v>500</v>
      </c>
      <c r="M9" s="25">
        <v>500</v>
      </c>
      <c r="N9" s="26">
        <v>34344.15</v>
      </c>
      <c r="O9" s="27">
        <f t="shared" si="3"/>
        <v>26418.576923076922</v>
      </c>
      <c r="P9" s="27">
        <f t="shared" si="4"/>
        <v>7925.5730769230795</v>
      </c>
      <c r="Q9" s="27"/>
      <c r="R9" s="28">
        <v>0</v>
      </c>
      <c r="S9" s="44">
        <f>SUM(N9*15%)</f>
        <v>5151.6225000000004</v>
      </c>
      <c r="T9" s="44"/>
      <c r="U9" s="56">
        <f>SUM(I9+J9+K9+L9+M9+N9+Q9+R9+S9+T9)</f>
        <v>47297.387999999999</v>
      </c>
      <c r="V9" s="56">
        <f t="shared" si="5"/>
        <v>12953.238000000001</v>
      </c>
      <c r="W9" s="57">
        <f t="shared" si="6"/>
        <v>7425.7619999999997</v>
      </c>
      <c r="X9" s="31">
        <f t="shared" si="7"/>
        <v>54723.15</v>
      </c>
    </row>
    <row r="10" spans="1:24" s="11" customFormat="1" ht="29.45" customHeight="1">
      <c r="A10" s="18" t="s">
        <v>154</v>
      </c>
      <c r="B10" s="23" t="s">
        <v>66</v>
      </c>
      <c r="C10" s="21">
        <v>3215</v>
      </c>
      <c r="D10" s="22">
        <f>41+39-8</f>
        <v>72</v>
      </c>
      <c r="E10" s="21">
        <f>SUM(D10*5/100)</f>
        <v>3.6</v>
      </c>
      <c r="F10" s="21">
        <f t="shared" si="0"/>
        <v>68.400000000000006</v>
      </c>
      <c r="G10" s="23">
        <v>13122</v>
      </c>
      <c r="H10" s="21">
        <f t="shared" si="1"/>
        <v>131.22</v>
      </c>
      <c r="I10" s="24">
        <f t="shared" si="2"/>
        <v>8975.4480000000003</v>
      </c>
      <c r="J10" s="25"/>
      <c r="K10" s="25">
        <v>800</v>
      </c>
      <c r="L10" s="25"/>
      <c r="M10" s="25">
        <v>500</v>
      </c>
      <c r="N10" s="26">
        <v>31341.64</v>
      </c>
      <c r="O10" s="27">
        <f t="shared" si="3"/>
        <v>24108.953846153843</v>
      </c>
      <c r="P10" s="27">
        <f t="shared" si="4"/>
        <v>7232.6861538461562</v>
      </c>
      <c r="Q10" s="27">
        <f>SUM(N10*10%)</f>
        <v>3134.1640000000002</v>
      </c>
      <c r="R10" s="28">
        <v>0</v>
      </c>
      <c r="S10" s="44"/>
      <c r="T10" s="44"/>
      <c r="U10" s="56">
        <f>SUM(I10+J10+K10+L10+M10+N10+Q10+R10+S10+T10)</f>
        <v>44751.252</v>
      </c>
      <c r="V10" s="56">
        <f t="shared" si="5"/>
        <v>10275.448</v>
      </c>
      <c r="W10" s="57">
        <f t="shared" si="6"/>
        <v>2846.5519999999997</v>
      </c>
      <c r="X10" s="31">
        <f t="shared" si="7"/>
        <v>47597.803999999996</v>
      </c>
    </row>
    <row r="11" spans="1:24" s="11" customFormat="1" ht="29.45" customHeight="1">
      <c r="A11" s="18" t="s">
        <v>155</v>
      </c>
      <c r="B11" s="23" t="s">
        <v>67</v>
      </c>
      <c r="C11" s="21"/>
      <c r="D11" s="22">
        <f>45-3-2</f>
        <v>40</v>
      </c>
      <c r="E11" s="21"/>
      <c r="F11" s="21">
        <v>55</v>
      </c>
      <c r="G11" s="23">
        <v>7437</v>
      </c>
      <c r="H11" s="21">
        <f t="shared" si="1"/>
        <v>74.37</v>
      </c>
      <c r="I11" s="24">
        <f t="shared" si="2"/>
        <v>4090.3500000000004</v>
      </c>
      <c r="J11" s="25"/>
      <c r="K11" s="25"/>
      <c r="L11" s="25"/>
      <c r="M11" s="25">
        <v>500</v>
      </c>
      <c r="N11" s="26">
        <v>28152.94</v>
      </c>
      <c r="O11" s="27">
        <f t="shared" si="3"/>
        <v>21656.107692307691</v>
      </c>
      <c r="P11" s="27">
        <f t="shared" si="4"/>
        <v>6496.8323076923079</v>
      </c>
      <c r="Q11" s="27"/>
      <c r="R11" s="28">
        <v>0</v>
      </c>
      <c r="S11" s="44"/>
      <c r="T11" s="44"/>
      <c r="U11" s="56">
        <f>SUM(I11+J11+K11+L11+M11+N11+Q11+R11+S11+T11)</f>
        <v>32743.29</v>
      </c>
      <c r="V11" s="56">
        <f t="shared" si="5"/>
        <v>4590.3500000000004</v>
      </c>
      <c r="W11" s="57">
        <f t="shared" si="6"/>
        <v>2846.6499999999996</v>
      </c>
      <c r="X11" s="31">
        <f t="shared" si="7"/>
        <v>35589.94</v>
      </c>
    </row>
    <row r="12" spans="1:24" s="11" customFormat="1" ht="29.45" customHeight="1">
      <c r="A12" s="18" t="s">
        <v>156</v>
      </c>
      <c r="B12" s="23" t="s">
        <v>117</v>
      </c>
      <c r="C12" s="21">
        <v>8789</v>
      </c>
      <c r="D12" s="22">
        <f>51+2</f>
        <v>53</v>
      </c>
      <c r="E12" s="21">
        <f t="shared" ref="E12:E20" si="8">SUM(D12*5/100)</f>
        <v>2.65</v>
      </c>
      <c r="F12" s="21">
        <f t="shared" si="0"/>
        <v>50.35</v>
      </c>
      <c r="G12" s="23">
        <v>11768</v>
      </c>
      <c r="H12" s="21">
        <f t="shared" si="1"/>
        <v>117.68</v>
      </c>
      <c r="I12" s="24">
        <f t="shared" si="2"/>
        <v>5925.1880000000001</v>
      </c>
      <c r="J12" s="25"/>
      <c r="K12" s="25">
        <v>800</v>
      </c>
      <c r="L12" s="25">
        <v>500</v>
      </c>
      <c r="M12" s="25">
        <v>500</v>
      </c>
      <c r="N12" s="26">
        <v>30074.080000000002</v>
      </c>
      <c r="O12" s="27">
        <f t="shared" si="3"/>
        <v>23133.907692307694</v>
      </c>
      <c r="P12" s="27">
        <f t="shared" si="4"/>
        <v>6940.1723076923081</v>
      </c>
      <c r="Q12" s="27"/>
      <c r="R12" s="28">
        <v>0</v>
      </c>
      <c r="S12" s="44"/>
      <c r="T12" s="44"/>
      <c r="U12" s="56">
        <f>SUM(I12+J12+K12+L12+M12+N12+Q12+R12+S12+T12)</f>
        <v>37799.268000000004</v>
      </c>
      <c r="V12" s="56">
        <f t="shared" si="5"/>
        <v>7725.1880000000001</v>
      </c>
      <c r="W12" s="57">
        <f t="shared" si="6"/>
        <v>4042.8119999999999</v>
      </c>
      <c r="X12" s="31">
        <f t="shared" si="7"/>
        <v>41842.080000000002</v>
      </c>
    </row>
    <row r="13" spans="1:24" s="11" customFormat="1" ht="29.45" customHeight="1" thickBot="1">
      <c r="A13" s="64" t="s">
        <v>157</v>
      </c>
      <c r="B13" s="32" t="s">
        <v>165</v>
      </c>
      <c r="C13" s="32">
        <v>32926</v>
      </c>
      <c r="D13" s="58">
        <f>48+8-4</f>
        <v>52</v>
      </c>
      <c r="E13" s="21">
        <f t="shared" si="8"/>
        <v>2.6</v>
      </c>
      <c r="F13" s="21">
        <f t="shared" si="0"/>
        <v>49.4</v>
      </c>
      <c r="G13" s="32">
        <v>18681</v>
      </c>
      <c r="H13" s="21">
        <f t="shared" si="1"/>
        <v>186.81</v>
      </c>
      <c r="I13" s="24">
        <f t="shared" si="2"/>
        <v>9228.4140000000007</v>
      </c>
      <c r="J13" s="32">
        <v>0</v>
      </c>
      <c r="K13" s="32">
        <v>800</v>
      </c>
      <c r="L13" s="32">
        <v>800</v>
      </c>
      <c r="M13" s="32">
        <v>500</v>
      </c>
      <c r="N13" s="44">
        <v>27426.959999999999</v>
      </c>
      <c r="O13" s="27">
        <f t="shared" si="3"/>
        <v>21097.661538461536</v>
      </c>
      <c r="P13" s="27">
        <f t="shared" si="4"/>
        <v>6329.298461538463</v>
      </c>
      <c r="Q13" s="44"/>
      <c r="R13" s="45">
        <v>0</v>
      </c>
      <c r="S13" s="44">
        <f>SUM(N13*15%)</f>
        <v>4114.0439999999999</v>
      </c>
      <c r="T13" s="44"/>
      <c r="U13" s="56">
        <f>SUM(I13+J13+K13+L13+M13+N13+Q13+R13+S13+T13)-0.01</f>
        <v>42869.407999999996</v>
      </c>
      <c r="V13" s="56">
        <f>SUM(I13+J13+K13+L13+M13+R13+S13+T13)+0.01</f>
        <v>15442.468000000001</v>
      </c>
      <c r="W13" s="57">
        <f t="shared" si="6"/>
        <v>3238.5419999999995</v>
      </c>
      <c r="X13" s="31">
        <f t="shared" si="7"/>
        <v>46107.96</v>
      </c>
    </row>
    <row r="14" spans="1:24" s="11" customFormat="1" ht="36" customHeight="1">
      <c r="A14" s="51" t="s">
        <v>158</v>
      </c>
      <c r="B14" s="21" t="s">
        <v>62</v>
      </c>
      <c r="C14" s="21">
        <v>2411</v>
      </c>
      <c r="D14" s="59">
        <f>57+16-4</f>
        <v>69</v>
      </c>
      <c r="E14" s="21">
        <f t="shared" si="8"/>
        <v>3.45</v>
      </c>
      <c r="F14" s="21">
        <f t="shared" si="0"/>
        <v>65.55</v>
      </c>
      <c r="G14" s="59">
        <v>44751</v>
      </c>
      <c r="H14" s="21">
        <f t="shared" si="1"/>
        <v>447.51</v>
      </c>
      <c r="I14" s="24">
        <f t="shared" si="2"/>
        <v>29334.280499999997</v>
      </c>
      <c r="J14" s="60"/>
      <c r="K14" s="60">
        <v>800</v>
      </c>
      <c r="L14" s="60">
        <v>800</v>
      </c>
      <c r="M14" s="60">
        <v>0</v>
      </c>
      <c r="N14" s="27">
        <v>43174.09</v>
      </c>
      <c r="O14" s="27">
        <f t="shared" si="3"/>
        <v>33210.838461538457</v>
      </c>
      <c r="P14" s="27">
        <f t="shared" si="4"/>
        <v>9963.2515384615399</v>
      </c>
      <c r="Q14" s="27">
        <f>SUM(N14*10%)</f>
        <v>4317.4089999999997</v>
      </c>
      <c r="R14" s="60">
        <v>0</v>
      </c>
      <c r="S14" s="61"/>
      <c r="T14" s="62">
        <f>SUM(N14*20%)</f>
        <v>8634.8179999999993</v>
      </c>
      <c r="U14" s="56">
        <f>SUM(I14+J14+K14+L14+M14+N14+Q14+R14+S14+T14)</f>
        <v>87060.597499999989</v>
      </c>
      <c r="V14" s="56">
        <f>SUM(I14+J14+K14+L14+M14+R14+S14+T14)+0.01</f>
        <v>39569.108499999995</v>
      </c>
      <c r="W14" s="57">
        <f t="shared" si="6"/>
        <v>5181.9015000000036</v>
      </c>
      <c r="X14" s="31">
        <f t="shared" si="7"/>
        <v>92242.498999999996</v>
      </c>
    </row>
    <row r="15" spans="1:24" s="11" customFormat="1" ht="35.25" customHeight="1">
      <c r="A15" s="65" t="s">
        <v>159</v>
      </c>
      <c r="B15" s="23" t="s">
        <v>118</v>
      </c>
      <c r="C15" s="21">
        <v>45372</v>
      </c>
      <c r="D15" s="22">
        <f>59+29-12</f>
        <v>76</v>
      </c>
      <c r="E15" s="21">
        <f t="shared" si="8"/>
        <v>3.8</v>
      </c>
      <c r="F15" s="21">
        <f t="shared" si="0"/>
        <v>72.2</v>
      </c>
      <c r="G15" s="23">
        <v>45710</v>
      </c>
      <c r="H15" s="21">
        <f t="shared" si="1"/>
        <v>457.1</v>
      </c>
      <c r="I15" s="24">
        <f t="shared" si="2"/>
        <v>33002.620000000003</v>
      </c>
      <c r="J15" s="25">
        <v>0</v>
      </c>
      <c r="K15" s="25">
        <v>500</v>
      </c>
      <c r="L15" s="25">
        <v>800</v>
      </c>
      <c r="M15" s="25">
        <v>0</v>
      </c>
      <c r="N15" s="26">
        <v>51230.68</v>
      </c>
      <c r="O15" s="27">
        <f t="shared" si="3"/>
        <v>39408.215384615381</v>
      </c>
      <c r="P15" s="27">
        <f t="shared" si="4"/>
        <v>11822.464615384619</v>
      </c>
      <c r="Q15" s="27"/>
      <c r="R15" s="28">
        <v>0</v>
      </c>
      <c r="S15" s="44"/>
      <c r="T15" s="62">
        <f>SUM(N15*20%)</f>
        <v>10246.136</v>
      </c>
      <c r="U15" s="56">
        <f>SUM(I15+J15+K15+L15+M15+N15+Q15+R15+S15+T15)</f>
        <v>95779.436000000002</v>
      </c>
      <c r="V15" s="56">
        <f t="shared" si="5"/>
        <v>44548.756000000001</v>
      </c>
      <c r="W15" s="57">
        <f t="shared" si="6"/>
        <v>1161.243999999997</v>
      </c>
      <c r="X15" s="31">
        <f t="shared" si="7"/>
        <v>96940.68</v>
      </c>
    </row>
    <row r="16" spans="1:24" s="11" customFormat="1" ht="29.45" customHeight="1">
      <c r="A16" s="49" t="s">
        <v>160</v>
      </c>
      <c r="B16" s="23" t="s">
        <v>145</v>
      </c>
      <c r="C16" s="21">
        <v>10412</v>
      </c>
      <c r="D16" s="22">
        <f>52+10</f>
        <v>62</v>
      </c>
      <c r="E16" s="21">
        <f t="shared" si="8"/>
        <v>3.1</v>
      </c>
      <c r="F16" s="21">
        <f t="shared" si="0"/>
        <v>58.9</v>
      </c>
      <c r="G16" s="23">
        <v>20789</v>
      </c>
      <c r="H16" s="21">
        <f t="shared" si="1"/>
        <v>207.89</v>
      </c>
      <c r="I16" s="24">
        <f t="shared" si="2"/>
        <v>12244.721</v>
      </c>
      <c r="J16" s="25"/>
      <c r="K16" s="25">
        <v>500</v>
      </c>
      <c r="L16" s="25">
        <v>500</v>
      </c>
      <c r="M16" s="25">
        <v>500</v>
      </c>
      <c r="N16" s="26">
        <v>37696.559999999998</v>
      </c>
      <c r="O16" s="27">
        <f t="shared" si="3"/>
        <v>28997.353846153845</v>
      </c>
      <c r="P16" s="27">
        <f t="shared" si="4"/>
        <v>8699.206153846153</v>
      </c>
      <c r="Q16" s="27"/>
      <c r="R16" s="28">
        <v>0</v>
      </c>
      <c r="S16" s="44">
        <f>SUM(N16*15%)</f>
        <v>5654.4839999999995</v>
      </c>
      <c r="T16" s="44"/>
      <c r="U16" s="56">
        <f>SUM(I16+J16+K16+L16+M16+N16+Q16+R16+S16+T16)-0.01</f>
        <v>57095.75499999999</v>
      </c>
      <c r="V16" s="56">
        <f t="shared" si="5"/>
        <v>19399.204999999998</v>
      </c>
      <c r="W16" s="57">
        <f t="shared" si="6"/>
        <v>1389.795000000001</v>
      </c>
      <c r="X16" s="31">
        <f t="shared" si="7"/>
        <v>58485.56</v>
      </c>
    </row>
    <row r="17" spans="1:24" s="11" customFormat="1" ht="37.5" customHeight="1">
      <c r="A17" s="66" t="s">
        <v>161</v>
      </c>
      <c r="B17" s="32" t="s">
        <v>167</v>
      </c>
      <c r="C17" s="21">
        <v>8570</v>
      </c>
      <c r="D17" s="22">
        <f>57+13-8</f>
        <v>62</v>
      </c>
      <c r="E17" s="21">
        <f t="shared" si="8"/>
        <v>3.1</v>
      </c>
      <c r="F17" s="21">
        <f t="shared" si="0"/>
        <v>58.9</v>
      </c>
      <c r="G17" s="23">
        <v>35644</v>
      </c>
      <c r="H17" s="21">
        <f t="shared" si="1"/>
        <v>356.44</v>
      </c>
      <c r="I17" s="24">
        <f t="shared" si="2"/>
        <v>20994.315999999999</v>
      </c>
      <c r="J17" s="63"/>
      <c r="K17" s="25">
        <v>500</v>
      </c>
      <c r="L17" s="25">
        <f>800</f>
        <v>800</v>
      </c>
      <c r="M17" s="25">
        <v>500</v>
      </c>
      <c r="N17" s="26">
        <v>38160.43</v>
      </c>
      <c r="O17" s="27">
        <f t="shared" si="3"/>
        <v>29354.176923076921</v>
      </c>
      <c r="P17" s="27">
        <f t="shared" si="4"/>
        <v>8806.2530769230798</v>
      </c>
      <c r="Q17" s="27"/>
      <c r="R17" s="28">
        <v>0</v>
      </c>
      <c r="S17" s="44">
        <f>SUM(N17*15%)</f>
        <v>5724.0644999999995</v>
      </c>
      <c r="T17" s="44"/>
      <c r="U17" s="56">
        <f>SUM(I17+J17+K17+L17+M17+N17+Q17+R17+S17+T17)</f>
        <v>66678.810499999992</v>
      </c>
      <c r="V17" s="56">
        <f>SUM(I17+J17+K17+L17+M17+R17+S17+T17)</f>
        <v>28518.380499999999</v>
      </c>
      <c r="W17" s="57">
        <f t="shared" si="6"/>
        <v>7125.6195000000016</v>
      </c>
      <c r="X17" s="31">
        <f t="shared" si="7"/>
        <v>73804.429999999993</v>
      </c>
    </row>
    <row r="18" spans="1:24" s="11" customFormat="1" ht="29.45" customHeight="1">
      <c r="A18" s="18" t="s">
        <v>162</v>
      </c>
      <c r="B18" s="23" t="s">
        <v>63</v>
      </c>
      <c r="C18" s="21">
        <v>6286</v>
      </c>
      <c r="D18" s="22">
        <f>64+32-14</f>
        <v>82</v>
      </c>
      <c r="E18" s="21">
        <f t="shared" si="8"/>
        <v>4.0999999999999996</v>
      </c>
      <c r="F18" s="21">
        <f t="shared" si="0"/>
        <v>77.900000000000006</v>
      </c>
      <c r="G18" s="23">
        <v>24554</v>
      </c>
      <c r="H18" s="21">
        <f t="shared" si="1"/>
        <v>245.54</v>
      </c>
      <c r="I18" s="24">
        <f t="shared" si="2"/>
        <v>19127.566000000003</v>
      </c>
      <c r="J18" s="25"/>
      <c r="K18" s="25">
        <v>800</v>
      </c>
      <c r="L18" s="25">
        <v>800</v>
      </c>
      <c r="M18" s="25">
        <v>500</v>
      </c>
      <c r="N18" s="26">
        <v>37409.46</v>
      </c>
      <c r="O18" s="27">
        <f t="shared" si="3"/>
        <v>28776.507692307692</v>
      </c>
      <c r="P18" s="27">
        <f t="shared" si="4"/>
        <v>8632.9523076923069</v>
      </c>
      <c r="Q18" s="27"/>
      <c r="R18" s="28">
        <v>0</v>
      </c>
      <c r="S18" s="44">
        <f>SUM(N18*15%)-2285</f>
        <v>3326.4189999999999</v>
      </c>
      <c r="T18" s="44"/>
      <c r="U18" s="56">
        <f>SUM(I18+J18+K18+L18+M18+N18+Q18+R18+S18+T18)</f>
        <v>61963.445</v>
      </c>
      <c r="V18" s="56">
        <f t="shared" si="5"/>
        <v>24553.985000000001</v>
      </c>
      <c r="W18" s="57">
        <f t="shared" si="6"/>
        <v>1.4999999997598934E-2</v>
      </c>
      <c r="X18" s="31">
        <f t="shared" si="7"/>
        <v>61963.46</v>
      </c>
    </row>
    <row r="19" spans="1:24" s="11" customFormat="1" ht="29.45" customHeight="1">
      <c r="A19" s="18" t="s">
        <v>163</v>
      </c>
      <c r="B19" s="23" t="s">
        <v>124</v>
      </c>
      <c r="C19" s="21">
        <v>15086</v>
      </c>
      <c r="D19" s="22">
        <f>54+16-4</f>
        <v>66</v>
      </c>
      <c r="E19" s="21">
        <f t="shared" si="8"/>
        <v>3.3</v>
      </c>
      <c r="F19" s="21">
        <f t="shared" si="0"/>
        <v>62.7</v>
      </c>
      <c r="G19" s="23">
        <v>28608</v>
      </c>
      <c r="H19" s="21">
        <f t="shared" si="1"/>
        <v>286.08</v>
      </c>
      <c r="I19" s="24">
        <f t="shared" si="2"/>
        <v>17937.216</v>
      </c>
      <c r="J19" s="63"/>
      <c r="K19" s="25">
        <f>500-500</f>
        <v>0</v>
      </c>
      <c r="L19" s="25">
        <v>800</v>
      </c>
      <c r="M19" s="25">
        <v>500</v>
      </c>
      <c r="N19" s="26">
        <v>37929.99</v>
      </c>
      <c r="O19" s="27">
        <f t="shared" si="3"/>
        <v>29176.915384615382</v>
      </c>
      <c r="P19" s="27">
        <f t="shared" si="4"/>
        <v>8753.0746153846158</v>
      </c>
      <c r="Q19" s="27">
        <f>SUM(N19*10%)</f>
        <v>3792.9989999999998</v>
      </c>
      <c r="R19" s="28">
        <v>0</v>
      </c>
      <c r="S19" s="44">
        <f>SUM(N19*15%)</f>
        <v>5689.4984999999997</v>
      </c>
      <c r="T19" s="44"/>
      <c r="U19" s="56">
        <f>SUM(I19+J19+K19+L19+M19+N19+Q19+R19+S19+T19)+0.01</f>
        <v>66649.713499999998</v>
      </c>
      <c r="V19" s="56">
        <f>SUM(I19+J19+K19+L19+M19+R19+S19+T19)-0.01</f>
        <v>24926.704500000003</v>
      </c>
      <c r="W19" s="57">
        <f t="shared" si="6"/>
        <v>3681.2855</v>
      </c>
      <c r="X19" s="31">
        <f t="shared" si="7"/>
        <v>70330.988999999987</v>
      </c>
    </row>
    <row r="20" spans="1:24" s="11" customFormat="1" ht="29.45" customHeight="1">
      <c r="A20" s="18" t="s">
        <v>164</v>
      </c>
      <c r="B20" s="23" t="s">
        <v>171</v>
      </c>
      <c r="C20" s="21">
        <v>12644</v>
      </c>
      <c r="D20" s="22">
        <f>34+8-2</f>
        <v>40</v>
      </c>
      <c r="E20" s="21">
        <f t="shared" si="8"/>
        <v>2</v>
      </c>
      <c r="F20" s="21">
        <f t="shared" si="0"/>
        <v>38</v>
      </c>
      <c r="G20" s="23">
        <v>21364</v>
      </c>
      <c r="H20" s="21">
        <f t="shared" si="1"/>
        <v>213.64</v>
      </c>
      <c r="I20" s="24">
        <f t="shared" si="2"/>
        <v>8118.32</v>
      </c>
      <c r="J20" s="25"/>
      <c r="K20" s="25">
        <v>500</v>
      </c>
      <c r="L20" s="25">
        <f>800</f>
        <v>800</v>
      </c>
      <c r="M20" s="25">
        <v>500</v>
      </c>
      <c r="N20" s="26">
        <v>33272.449999999997</v>
      </c>
      <c r="O20" s="27">
        <f t="shared" si="3"/>
        <v>25594.192307692305</v>
      </c>
      <c r="P20" s="27">
        <f t="shared" si="4"/>
        <v>7678.2576923076922</v>
      </c>
      <c r="Q20" s="27"/>
      <c r="R20" s="28">
        <v>0</v>
      </c>
      <c r="S20" s="44">
        <f>SUM(N20*15%)</f>
        <v>4990.8674999999994</v>
      </c>
      <c r="T20" s="44"/>
      <c r="U20" s="56">
        <f>SUM(I20+J20+K20+L20+M20+N20+Q20+R20+S20+T20)</f>
        <v>48181.637499999997</v>
      </c>
      <c r="V20" s="56">
        <f t="shared" si="5"/>
        <v>14909.1875</v>
      </c>
      <c r="W20" s="57">
        <f t="shared" si="6"/>
        <v>6454.8125000000009</v>
      </c>
      <c r="X20" s="31">
        <f t="shared" si="7"/>
        <v>54636.45</v>
      </c>
    </row>
    <row r="21" spans="1:24" s="11" customFormat="1" ht="19.149999999999999" customHeight="1"/>
    <row r="22" spans="1:24" s="11" customFormat="1" ht="19.149999999999999" customHeight="1"/>
    <row r="23" spans="1:24" s="11" customFormat="1"/>
    <row r="24" spans="1:24" s="11" customFormat="1"/>
    <row r="25" spans="1:24" s="11" customFormat="1"/>
    <row r="26" spans="1:24" s="11" customFormat="1"/>
    <row r="27" spans="1:24" s="11" customFormat="1"/>
    <row r="28" spans="1:24" s="11" customFormat="1"/>
    <row r="29" spans="1:24" s="11" customFormat="1"/>
    <row r="30" spans="1:24" s="11" customFormat="1"/>
    <row r="31" spans="1:24" s="11" customFormat="1"/>
    <row r="32" spans="1:24" s="11" customFormat="1"/>
    <row r="33" s="11" customFormat="1"/>
  </sheetData>
  <mergeCells count="13">
    <mergeCell ref="A2:D2"/>
    <mergeCell ref="C4:C5"/>
    <mergeCell ref="D4:D5"/>
    <mergeCell ref="E4:E5"/>
    <mergeCell ref="F4:F5"/>
    <mergeCell ref="W4:W5"/>
    <mergeCell ref="X4:X5"/>
    <mergeCell ref="N4:P4"/>
    <mergeCell ref="Q4:Q5"/>
    <mergeCell ref="R4:R5"/>
    <mergeCell ref="S4:S5"/>
    <mergeCell ref="T4:T5"/>
    <mergeCell ref="V4:V5"/>
  </mergeCells>
  <phoneticPr fontId="23" type="noConversion"/>
  <pageMargins left="0.70866141732283472" right="0.70866141732283472" top="1.1417322834645669" bottom="0.74803149606299213" header="0.31496062992125984" footer="0.31496062992125984"/>
  <pageSetup paperSize="9" scale="52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X7"/>
  <sheetViews>
    <sheetView view="pageBreakPreview" zoomScale="8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1" sqref="T1"/>
    </sheetView>
  </sheetViews>
  <sheetFormatPr defaultRowHeight="15"/>
  <cols>
    <col min="1" max="1" width="39.42578125" customWidth="1"/>
    <col min="2" max="2" width="20.7109375" customWidth="1"/>
    <col min="3" max="9" width="0" hidden="1" customWidth="1"/>
    <col min="10" max="12" width="9.5703125" bestFit="1" customWidth="1"/>
    <col min="13" max="13" width="12.42578125" customWidth="1"/>
    <col min="14" max="14" width="7.140625" customWidth="1"/>
    <col min="15" max="15" width="7" customWidth="1"/>
    <col min="16" max="16" width="11.42578125" customWidth="1"/>
    <col min="17" max="17" width="11" customWidth="1"/>
    <col min="18" max="18" width="10.7109375" customWidth="1"/>
    <col min="19" max="19" width="0.28515625" customWidth="1"/>
    <col min="20" max="20" width="11.42578125" customWidth="1"/>
    <col min="21" max="21" width="11.28515625" bestFit="1" customWidth="1"/>
    <col min="22" max="22" width="13" hidden="1" customWidth="1"/>
    <col min="23" max="23" width="9.42578125" hidden="1" customWidth="1"/>
    <col min="24" max="24" width="9.5703125" hidden="1" customWidth="1"/>
    <col min="25" max="25" width="8.85546875" customWidth="1"/>
  </cols>
  <sheetData>
    <row r="1" spans="1:24" s="11" customFormat="1" ht="18.75" customHeight="1">
      <c r="A1" s="67" t="s">
        <v>175</v>
      </c>
      <c r="B1" s="67"/>
      <c r="C1" s="67"/>
      <c r="D1" s="67"/>
      <c r="E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4" s="11" customFormat="1" ht="15.75" customHeight="1" thickBot="1"/>
    <row r="3" spans="1:24" s="11" customFormat="1" ht="81" customHeight="1" thickBot="1">
      <c r="A3" s="52" t="s">
        <v>0</v>
      </c>
      <c r="B3" s="52" t="s">
        <v>1</v>
      </c>
      <c r="C3" s="68" t="s">
        <v>24</v>
      </c>
      <c r="D3" s="15"/>
      <c r="E3" s="68" t="s">
        <v>31</v>
      </c>
      <c r="F3" s="13"/>
      <c r="G3" s="13"/>
      <c r="H3" s="13"/>
      <c r="I3" s="15"/>
      <c r="J3" s="69" t="s">
        <v>11</v>
      </c>
      <c r="K3" s="53" t="s">
        <v>12</v>
      </c>
      <c r="L3" s="9" t="s">
        <v>13</v>
      </c>
      <c r="M3" s="9" t="s">
        <v>14</v>
      </c>
      <c r="N3" s="9" t="s">
        <v>69</v>
      </c>
      <c r="O3" s="9" t="s">
        <v>87</v>
      </c>
      <c r="P3" s="163" t="s">
        <v>109</v>
      </c>
      <c r="Q3" s="163"/>
      <c r="R3" s="163"/>
      <c r="S3" s="163" t="s">
        <v>113</v>
      </c>
      <c r="T3" s="167" t="s">
        <v>122</v>
      </c>
      <c r="U3" s="70" t="s">
        <v>15</v>
      </c>
      <c r="V3" s="161" t="s">
        <v>115</v>
      </c>
      <c r="W3" s="180" t="s">
        <v>71</v>
      </c>
      <c r="X3" s="164" t="s">
        <v>148</v>
      </c>
    </row>
    <row r="4" spans="1:24" s="11" customFormat="1" ht="39.75" customHeight="1" thickBot="1">
      <c r="A4" s="54"/>
      <c r="B4" s="54"/>
      <c r="C4" s="13" t="s">
        <v>4</v>
      </c>
      <c r="D4" s="14" t="s">
        <v>25</v>
      </c>
      <c r="E4" s="14" t="s">
        <v>7</v>
      </c>
      <c r="F4" s="15" t="s">
        <v>28</v>
      </c>
      <c r="G4" s="15" t="s">
        <v>29</v>
      </c>
      <c r="H4" s="14" t="s">
        <v>26</v>
      </c>
      <c r="I4" s="14" t="s">
        <v>27</v>
      </c>
      <c r="J4" s="55"/>
      <c r="K4" s="55"/>
      <c r="L4" s="55"/>
      <c r="M4" s="55"/>
      <c r="N4" s="16"/>
      <c r="O4" s="16"/>
      <c r="P4" s="17" t="s">
        <v>110</v>
      </c>
      <c r="Q4" s="17" t="s">
        <v>111</v>
      </c>
      <c r="R4" s="17" t="s">
        <v>112</v>
      </c>
      <c r="S4" s="163"/>
      <c r="T4" s="167"/>
      <c r="U4" s="71"/>
      <c r="V4" s="162"/>
      <c r="W4" s="181"/>
      <c r="X4" s="164"/>
    </row>
    <row r="5" spans="1:24" s="78" customFormat="1" ht="24" customHeight="1">
      <c r="A5" s="18" t="s">
        <v>181</v>
      </c>
      <c r="B5" s="23" t="s">
        <v>168</v>
      </c>
      <c r="C5" s="72">
        <v>32</v>
      </c>
      <c r="D5" s="23">
        <v>8</v>
      </c>
      <c r="E5" s="23">
        <v>15</v>
      </c>
      <c r="F5" s="73">
        <v>8</v>
      </c>
      <c r="G5" s="23">
        <v>7</v>
      </c>
      <c r="H5" s="23">
        <v>10</v>
      </c>
      <c r="I5" s="23">
        <v>10</v>
      </c>
      <c r="J5" s="22">
        <f>80-5</f>
        <v>75</v>
      </c>
      <c r="K5" s="23">
        <f>27738/3*1.5</f>
        <v>13869</v>
      </c>
      <c r="L5" s="21">
        <f>SUM(K5/100)</f>
        <v>138.69</v>
      </c>
      <c r="M5" s="24">
        <f>SUM(J5*L5)</f>
        <v>10401.75</v>
      </c>
      <c r="N5" s="25"/>
      <c r="O5" s="25">
        <v>0</v>
      </c>
      <c r="P5" s="26">
        <v>38791.07</v>
      </c>
      <c r="Q5" s="27">
        <f>SUM(P5/1.3)</f>
        <v>29839.284615384615</v>
      </c>
      <c r="R5" s="27">
        <f>SUM(P5-Q5)</f>
        <v>8951.7853846153848</v>
      </c>
      <c r="S5" s="28"/>
      <c r="T5" s="28"/>
      <c r="U5" s="74">
        <f>SUM(M5+N5+O5+P5+S5+T5)</f>
        <v>49192.82</v>
      </c>
      <c r="V5" s="75">
        <f>SUM(M5+N5+O5+T5)</f>
        <v>10401.75</v>
      </c>
      <c r="W5" s="76">
        <f>SUM(K5-M5-N5-O5)</f>
        <v>3467.25</v>
      </c>
      <c r="X5" s="77">
        <f>SUM(K5+P5)</f>
        <v>52660.07</v>
      </c>
    </row>
    <row r="6" spans="1:24" s="78" customFormat="1" ht="25.5" customHeight="1">
      <c r="A6" s="65" t="s">
        <v>182</v>
      </c>
      <c r="B6" s="58" t="s">
        <v>183</v>
      </c>
      <c r="C6" s="79">
        <v>32</v>
      </c>
      <c r="D6" s="80">
        <v>10</v>
      </c>
      <c r="E6" s="80">
        <v>15</v>
      </c>
      <c r="F6" s="81">
        <v>8</v>
      </c>
      <c r="G6" s="80">
        <v>0</v>
      </c>
      <c r="H6" s="80">
        <v>10</v>
      </c>
      <c r="I6" s="80">
        <v>10</v>
      </c>
      <c r="J6" s="82">
        <f>80+8</f>
        <v>88</v>
      </c>
      <c r="K6" s="80">
        <f>30937/3*1.5</f>
        <v>15468.5</v>
      </c>
      <c r="L6" s="82">
        <f>SUM(K6/100)</f>
        <v>154.685</v>
      </c>
      <c r="M6" s="83">
        <f>SUM(J6*L6)</f>
        <v>13612.28</v>
      </c>
      <c r="N6" s="84"/>
      <c r="O6" s="84">
        <v>500</v>
      </c>
      <c r="P6" s="85">
        <v>39680.660000000003</v>
      </c>
      <c r="Q6" s="86">
        <f>SUM(P6/1.3)</f>
        <v>30523.584615384618</v>
      </c>
      <c r="R6" s="86">
        <f>SUM(P6-Q6)</f>
        <v>9157.0753846153857</v>
      </c>
      <c r="S6" s="87"/>
      <c r="T6" s="86">
        <f>SUM(P6*15%)-4596</f>
        <v>1356.0990000000002</v>
      </c>
      <c r="U6" s="74">
        <f>SUM(M6+N6+O6+P6+S6+T6)</f>
        <v>55149.039000000004</v>
      </c>
      <c r="V6" s="75">
        <f>SUM(M6+N6+O6+T6)</f>
        <v>15468.379000000001</v>
      </c>
      <c r="W6" s="88">
        <f>SUM(K6-M6-N6-O6-T6)</f>
        <v>0.12099999999918509</v>
      </c>
      <c r="X6" s="77">
        <f>SUM(K6+P6)</f>
        <v>55149.16</v>
      </c>
    </row>
    <row r="7" spans="1:24">
      <c r="J7" s="2"/>
    </row>
  </sheetData>
  <mergeCells count="6">
    <mergeCell ref="W3:W4"/>
    <mergeCell ref="X3:X4"/>
    <mergeCell ref="P3:R3"/>
    <mergeCell ref="S3:S4"/>
    <mergeCell ref="T3:T4"/>
    <mergeCell ref="V3:V4"/>
  </mergeCells>
  <phoneticPr fontId="23" type="noConversion"/>
  <pageMargins left="0.70866141732283472" right="0.70866141732283472" top="1.1417322834645669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8"/>
  <sheetViews>
    <sheetView view="pageBreakPreview" zoomScale="8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9.85546875" customWidth="1"/>
    <col min="2" max="2" width="18.5703125" customWidth="1"/>
    <col min="3" max="3" width="9.85546875" hidden="1" customWidth="1"/>
    <col min="4" max="7" width="0" hidden="1" customWidth="1"/>
    <col min="8" max="8" width="7.85546875" customWidth="1"/>
    <col min="9" max="9" width="8.28515625" customWidth="1"/>
    <col min="10" max="10" width="7.28515625" customWidth="1"/>
    <col min="11" max="11" width="13" customWidth="1"/>
    <col min="12" max="12" width="9.7109375" customWidth="1"/>
    <col min="13" max="13" width="6" customWidth="1"/>
    <col min="14" max="14" width="10.28515625" customWidth="1"/>
    <col min="15" max="15" width="11.7109375" customWidth="1"/>
    <col min="16" max="16" width="11.28515625" customWidth="1"/>
    <col min="17" max="17" width="11.7109375" customWidth="1"/>
    <col min="18" max="18" width="7.5703125" customWidth="1"/>
    <col min="19" max="19" width="11" customWidth="1"/>
    <col min="20" max="20" width="11.7109375" customWidth="1"/>
    <col min="21" max="21" width="10.42578125" hidden="1" customWidth="1"/>
    <col min="22" max="22" width="8" hidden="1" customWidth="1"/>
    <col min="23" max="23" width="11.7109375" hidden="1" customWidth="1"/>
    <col min="24" max="24" width="9.42578125" hidden="1" customWidth="1"/>
  </cols>
  <sheetData>
    <row r="1" spans="1:26" s="11" customFormat="1" ht="48.75" customHeight="1">
      <c r="A1" s="67" t="s">
        <v>174</v>
      </c>
      <c r="B1" s="67"/>
      <c r="C1" s="67"/>
      <c r="D1" s="67"/>
      <c r="E1" s="67"/>
      <c r="R1" s="67"/>
      <c r="S1" s="67"/>
      <c r="T1" s="67"/>
      <c r="U1" s="67"/>
      <c r="V1" s="67"/>
    </row>
    <row r="2" spans="1:26" s="11" customFormat="1" ht="47.25" customHeight="1" thickBot="1"/>
    <row r="3" spans="1:26" s="11" customFormat="1" ht="87" customHeight="1" thickBot="1">
      <c r="A3" s="52" t="s">
        <v>0</v>
      </c>
      <c r="B3" s="52" t="s">
        <v>1</v>
      </c>
      <c r="C3" s="68" t="s">
        <v>24</v>
      </c>
      <c r="D3" s="68" t="s">
        <v>30</v>
      </c>
      <c r="E3" s="15"/>
      <c r="F3" s="89" t="s">
        <v>34</v>
      </c>
      <c r="G3" s="13"/>
      <c r="H3" s="53" t="s">
        <v>11</v>
      </c>
      <c r="I3" s="53" t="s">
        <v>12</v>
      </c>
      <c r="J3" s="9" t="s">
        <v>13</v>
      </c>
      <c r="K3" s="9" t="s">
        <v>14</v>
      </c>
      <c r="L3" s="9" t="s">
        <v>80</v>
      </c>
      <c r="M3" s="9" t="s">
        <v>85</v>
      </c>
      <c r="N3" s="9" t="s">
        <v>87</v>
      </c>
      <c r="O3" s="163" t="s">
        <v>109</v>
      </c>
      <c r="P3" s="163"/>
      <c r="Q3" s="163"/>
      <c r="R3" s="163" t="s">
        <v>113</v>
      </c>
      <c r="S3" s="178" t="s">
        <v>122</v>
      </c>
      <c r="T3" s="184" t="s">
        <v>15</v>
      </c>
      <c r="U3" s="183" t="s">
        <v>140</v>
      </c>
      <c r="V3" s="17" t="s">
        <v>72</v>
      </c>
      <c r="W3" s="182" t="s">
        <v>148</v>
      </c>
      <c r="X3" s="97"/>
      <c r="Y3" s="97"/>
      <c r="Z3" s="97"/>
    </row>
    <row r="4" spans="1:26" s="11" customFormat="1" ht="41.25" customHeight="1" thickBot="1">
      <c r="A4" s="54"/>
      <c r="B4" s="54"/>
      <c r="C4" s="13" t="s">
        <v>4</v>
      </c>
      <c r="D4" s="14" t="s">
        <v>32</v>
      </c>
      <c r="E4" s="15" t="s">
        <v>33</v>
      </c>
      <c r="F4" s="14" t="s">
        <v>35</v>
      </c>
      <c r="G4" s="14" t="s">
        <v>36</v>
      </c>
      <c r="H4" s="55"/>
      <c r="I4" s="55"/>
      <c r="J4" s="55"/>
      <c r="K4" s="55"/>
      <c r="L4" s="55"/>
      <c r="M4" s="16"/>
      <c r="N4" s="16"/>
      <c r="O4" s="17" t="s">
        <v>110</v>
      </c>
      <c r="P4" s="17" t="s">
        <v>111</v>
      </c>
      <c r="Q4" s="17" t="s">
        <v>112</v>
      </c>
      <c r="R4" s="163"/>
      <c r="S4" s="179"/>
      <c r="T4" s="185"/>
      <c r="U4" s="183"/>
      <c r="V4" s="98"/>
      <c r="W4" s="182"/>
      <c r="X4" s="97"/>
      <c r="Y4" s="97"/>
      <c r="Z4" s="97"/>
    </row>
    <row r="5" spans="1:26" s="11" customFormat="1" ht="36" customHeight="1">
      <c r="A5" s="99" t="s">
        <v>184</v>
      </c>
      <c r="B5" s="21" t="s">
        <v>108</v>
      </c>
      <c r="C5" s="91">
        <v>8</v>
      </c>
      <c r="D5" s="21">
        <v>0</v>
      </c>
      <c r="E5" s="92">
        <v>0</v>
      </c>
      <c r="F5" s="21">
        <v>0</v>
      </c>
      <c r="G5" s="21">
        <v>0</v>
      </c>
      <c r="H5" s="22">
        <f>60+12-4</f>
        <v>68</v>
      </c>
      <c r="I5" s="21">
        <v>36192</v>
      </c>
      <c r="J5" s="21">
        <f>SUM(I5/100)</f>
        <v>361.92</v>
      </c>
      <c r="K5" s="24">
        <f>SUM(H5*J5)</f>
        <v>24610.560000000001</v>
      </c>
      <c r="L5" s="24">
        <v>0</v>
      </c>
      <c r="M5" s="27">
        <v>0</v>
      </c>
      <c r="N5" s="27">
        <v>500</v>
      </c>
      <c r="O5" s="27">
        <v>41215.42</v>
      </c>
      <c r="P5" s="27">
        <f>SUM(O5/1.3)</f>
        <v>31704.169230769228</v>
      </c>
      <c r="Q5" s="27">
        <f>SUM(O5-P5)</f>
        <v>9511.2507692307699</v>
      </c>
      <c r="R5" s="27"/>
      <c r="S5" s="27">
        <f>SUM(O5*15%)</f>
        <v>6182.3129999999992</v>
      </c>
      <c r="T5" s="100">
        <f>SUM(K5+L5+M5+N5+O5+R5+S5)-0.01</f>
        <v>72508.282999999996</v>
      </c>
      <c r="U5" s="93">
        <f>SUM(K5+L5+M5+N5+S5)</f>
        <v>31292.873</v>
      </c>
      <c r="V5" s="90">
        <f>SUM(I5-K5-L5-M5-N5-S5)</f>
        <v>4899.1269999999995</v>
      </c>
      <c r="W5" s="31">
        <f>SUM(I5+O5)</f>
        <v>77407.42</v>
      </c>
      <c r="X5" s="11">
        <f>SUM(O5*15%)</f>
        <v>6182.3129999999992</v>
      </c>
    </row>
    <row r="6" spans="1:26" s="11" customFormat="1"/>
    <row r="8" spans="1:26">
      <c r="R8" t="s">
        <v>84</v>
      </c>
    </row>
  </sheetData>
  <mergeCells count="6">
    <mergeCell ref="W3:W4"/>
    <mergeCell ref="O3:Q3"/>
    <mergeCell ref="R3:R4"/>
    <mergeCell ref="U3:U4"/>
    <mergeCell ref="S3:S4"/>
    <mergeCell ref="T3:T4"/>
  </mergeCells>
  <phoneticPr fontId="0" type="noConversion"/>
  <pageMargins left="0.70866141732283472" right="0.70866141732283472" top="1.1417322834645669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"/>
  <sheetViews>
    <sheetView view="pageBreakPreview" zoomScale="85" zoomScaleNormal="100" zoomScaleSheetLayoutView="100" workbookViewId="0">
      <selection activeCell="AK1" sqref="AK1"/>
    </sheetView>
  </sheetViews>
  <sheetFormatPr defaultRowHeight="15"/>
  <cols>
    <col min="1" max="1" width="26.14062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9" customWidth="1"/>
    <col min="28" max="28" width="10" customWidth="1"/>
    <col min="29" max="29" width="11.7109375" customWidth="1"/>
    <col min="30" max="30" width="14.28515625" customWidth="1"/>
    <col min="31" max="31" width="6.7109375" customWidth="1"/>
    <col min="32" max="32" width="12" customWidth="1"/>
    <col min="33" max="33" width="13.140625" customWidth="1"/>
    <col min="34" max="34" width="13.28515625" customWidth="1"/>
    <col min="35" max="35" width="7.85546875" customWidth="1"/>
    <col min="36" max="36" width="8.7109375" customWidth="1"/>
    <col min="37" max="37" width="11.28515625" customWidth="1"/>
    <col min="38" max="38" width="6.7109375" customWidth="1"/>
    <col min="39" max="39" width="11" bestFit="1" customWidth="1"/>
    <col min="40" max="40" width="12.5703125" hidden="1" customWidth="1"/>
    <col min="41" max="41" width="9.28515625" hidden="1" customWidth="1"/>
    <col min="42" max="42" width="8.85546875" hidden="1" customWidth="1"/>
  </cols>
  <sheetData>
    <row r="1" spans="1:42" ht="36.75" customHeight="1">
      <c r="A1" s="1" t="s">
        <v>174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2" ht="16.5" customHeight="1" thickBot="1"/>
    <row r="3" spans="1:42" s="11" customFormat="1" ht="82.5" customHeight="1" thickBot="1">
      <c r="A3" s="94" t="s">
        <v>0</v>
      </c>
      <c r="B3" s="94" t="s">
        <v>1</v>
      </c>
      <c r="C3" s="68" t="s">
        <v>24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68" t="s">
        <v>61</v>
      </c>
      <c r="S3" s="13"/>
      <c r="T3" s="13"/>
      <c r="U3" s="13"/>
      <c r="V3" s="13"/>
      <c r="W3" s="13"/>
      <c r="X3" s="13"/>
      <c r="Y3" s="13"/>
      <c r="Z3" s="15"/>
      <c r="AA3" s="69" t="s">
        <v>11</v>
      </c>
      <c r="AB3" s="53" t="s">
        <v>12</v>
      </c>
      <c r="AC3" s="9" t="s">
        <v>13</v>
      </c>
      <c r="AD3" s="9" t="s">
        <v>14</v>
      </c>
      <c r="AE3" s="9" t="s">
        <v>68</v>
      </c>
      <c r="AF3" s="163" t="s">
        <v>109</v>
      </c>
      <c r="AG3" s="163"/>
      <c r="AH3" s="163"/>
      <c r="AI3" s="163" t="s">
        <v>113</v>
      </c>
      <c r="AJ3" s="8" t="s">
        <v>87</v>
      </c>
      <c r="AK3" s="186" t="s">
        <v>122</v>
      </c>
      <c r="AL3" s="8" t="s">
        <v>119</v>
      </c>
      <c r="AM3" s="189" t="s">
        <v>15</v>
      </c>
      <c r="AN3" s="188" t="s">
        <v>173</v>
      </c>
      <c r="AO3" s="180" t="s">
        <v>72</v>
      </c>
      <c r="AP3" s="164" t="s">
        <v>148</v>
      </c>
    </row>
    <row r="4" spans="1:42" s="11" customFormat="1" ht="54" customHeight="1" thickBot="1">
      <c r="A4" s="54"/>
      <c r="B4" s="54"/>
      <c r="C4" s="14" t="s">
        <v>4</v>
      </c>
      <c r="D4" s="14" t="s">
        <v>38</v>
      </c>
      <c r="E4" s="14" t="s">
        <v>39</v>
      </c>
      <c r="F4" s="14" t="s">
        <v>40</v>
      </c>
      <c r="G4" s="15" t="s">
        <v>41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5" t="s">
        <v>48</v>
      </c>
      <c r="O4" s="14" t="s">
        <v>60</v>
      </c>
      <c r="P4" s="14" t="s">
        <v>49</v>
      </c>
      <c r="Q4" s="14" t="s">
        <v>50</v>
      </c>
      <c r="R4" s="14" t="s">
        <v>51</v>
      </c>
      <c r="S4" s="14" t="s">
        <v>52</v>
      </c>
      <c r="T4" s="14" t="s">
        <v>53</v>
      </c>
      <c r="U4" s="14" t="s">
        <v>54</v>
      </c>
      <c r="V4" s="14" t="s">
        <v>55</v>
      </c>
      <c r="W4" s="14" t="s">
        <v>56</v>
      </c>
      <c r="X4" s="14" t="s">
        <v>57</v>
      </c>
      <c r="Y4" s="14" t="s">
        <v>58</v>
      </c>
      <c r="Z4" s="14" t="s">
        <v>59</v>
      </c>
      <c r="AA4" s="55"/>
      <c r="AB4" s="55"/>
      <c r="AC4" s="55"/>
      <c r="AD4" s="55"/>
      <c r="AE4" s="16"/>
      <c r="AF4" s="17" t="s">
        <v>110</v>
      </c>
      <c r="AG4" s="17" t="s">
        <v>111</v>
      </c>
      <c r="AH4" s="17" t="s">
        <v>112</v>
      </c>
      <c r="AI4" s="163"/>
      <c r="AJ4" s="16"/>
      <c r="AK4" s="187"/>
      <c r="AL4" s="16"/>
      <c r="AM4" s="185"/>
      <c r="AN4" s="188"/>
      <c r="AO4" s="181"/>
      <c r="AP4" s="164"/>
    </row>
    <row r="5" spans="1:42" s="11" customFormat="1" ht="31.5">
      <c r="A5" s="99" t="s">
        <v>37</v>
      </c>
      <c r="B5" s="106" t="s">
        <v>185</v>
      </c>
      <c r="C5" s="101">
        <v>16</v>
      </c>
      <c r="D5" s="101">
        <v>2</v>
      </c>
      <c r="E5" s="102">
        <v>2</v>
      </c>
      <c r="F5" s="101">
        <v>2</v>
      </c>
      <c r="G5" s="102">
        <v>0</v>
      </c>
      <c r="H5" s="102">
        <v>0</v>
      </c>
      <c r="I5" s="102">
        <v>3</v>
      </c>
      <c r="J5" s="102">
        <v>2</v>
      </c>
      <c r="K5" s="102">
        <v>0</v>
      </c>
      <c r="L5" s="102">
        <v>2</v>
      </c>
      <c r="M5" s="101">
        <v>1</v>
      </c>
      <c r="N5" s="102">
        <v>0</v>
      </c>
      <c r="O5" s="102">
        <v>2</v>
      </c>
      <c r="P5" s="102">
        <v>2</v>
      </c>
      <c r="Q5" s="103">
        <v>2</v>
      </c>
      <c r="R5" s="101">
        <v>2</v>
      </c>
      <c r="S5" s="104">
        <v>1</v>
      </c>
      <c r="T5" s="104">
        <v>2</v>
      </c>
      <c r="U5" s="104">
        <v>1</v>
      </c>
      <c r="V5" s="104">
        <v>1</v>
      </c>
      <c r="W5" s="104">
        <v>2</v>
      </c>
      <c r="X5" s="104">
        <v>0</v>
      </c>
      <c r="Y5" s="104">
        <v>2</v>
      </c>
      <c r="Z5" s="104">
        <v>4</v>
      </c>
      <c r="AA5" s="107">
        <f>73-9</f>
        <v>64</v>
      </c>
      <c r="AB5" s="107">
        <v>37778</v>
      </c>
      <c r="AC5" s="107">
        <f>SUM(AB5/100)</f>
        <v>377.78</v>
      </c>
      <c r="AD5" s="108">
        <f>SUM(AA5*AC5)</f>
        <v>24177.919999999998</v>
      </c>
      <c r="AE5" s="109"/>
      <c r="AF5" s="109">
        <v>28454.51</v>
      </c>
      <c r="AG5" s="109">
        <f>SUM(AF5/1.3)</f>
        <v>21888.084615384614</v>
      </c>
      <c r="AH5" s="109">
        <f>SUM(AF5-AG5)</f>
        <v>6566.4253846153842</v>
      </c>
      <c r="AI5" s="109"/>
      <c r="AJ5" s="109">
        <v>500</v>
      </c>
      <c r="AK5" s="109">
        <f>SUM(AF5*15%)</f>
        <v>4268.1764999999996</v>
      </c>
      <c r="AL5" s="109"/>
      <c r="AM5" s="110">
        <f>SUM(AD5+AE5+AF5+AI5+AJ5+AL5+AK5)</f>
        <v>57400.606499999994</v>
      </c>
      <c r="AN5" s="105">
        <f>SUM(AD5+AE5+AJ5+AL5+AK5)</f>
        <v>28946.0965</v>
      </c>
      <c r="AO5" s="31">
        <f>SUM(AB5-AD5-AE5-AJ5-AL5-AK5)</f>
        <v>8831.9035000000022</v>
      </c>
      <c r="AP5" s="31">
        <f>SUM(AB5+AF5+AI5)</f>
        <v>66232.509999999995</v>
      </c>
    </row>
  </sheetData>
  <mergeCells count="7">
    <mergeCell ref="AO3:AO4"/>
    <mergeCell ref="AP3:AP4"/>
    <mergeCell ref="AF3:AH3"/>
    <mergeCell ref="AI3:AI4"/>
    <mergeCell ref="AK3:AK4"/>
    <mergeCell ref="AN3:AN4"/>
    <mergeCell ref="AM3:AM4"/>
  </mergeCells>
  <phoneticPr fontId="23" type="noConversion"/>
  <pageMargins left="0.70866141732283472" right="0.70866141732283472" top="1.1417322834645669" bottom="0.74803149606299213" header="0.31496062992125984" footer="0.31496062992125984"/>
  <pageSetup paperSize="9" scale="67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"/>
  <sheetViews>
    <sheetView tabSelected="1" view="pageBreakPreview" zoomScale="8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M18" sqref="AM18"/>
    </sheetView>
  </sheetViews>
  <sheetFormatPr defaultRowHeight="15"/>
  <cols>
    <col min="1" max="1" width="29.7109375" customWidth="1"/>
    <col min="2" max="2" width="18.57031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5" width="0" hidden="1" customWidth="1"/>
    <col min="26" max="26" width="1.85546875" hidden="1" customWidth="1"/>
    <col min="27" max="27" width="13" customWidth="1"/>
    <col min="28" max="28" width="10.85546875" customWidth="1"/>
    <col min="29" max="29" width="8.42578125" customWidth="1"/>
    <col min="30" max="30" width="13.28515625" customWidth="1"/>
    <col min="31" max="31" width="10.140625" customWidth="1"/>
    <col min="32" max="33" width="11.42578125" customWidth="1"/>
    <col min="34" max="34" width="9.28515625" bestFit="1" customWidth="1"/>
    <col min="35" max="35" width="14.5703125" customWidth="1"/>
    <col min="36" max="36" width="13.5703125" customWidth="1"/>
    <col min="37" max="37" width="13.140625" customWidth="1"/>
    <col min="38" max="38" width="10.5703125" customWidth="1"/>
    <col min="39" max="39" width="12" customWidth="1"/>
    <col min="40" max="40" width="15.85546875" customWidth="1"/>
    <col min="41" max="41" width="11.5703125" hidden="1" customWidth="1"/>
    <col min="42" max="42" width="10.85546875" hidden="1" customWidth="1"/>
    <col min="43" max="43" width="14.85546875" hidden="1" customWidth="1"/>
  </cols>
  <sheetData>
    <row r="1" spans="1:54" ht="18.75">
      <c r="A1" s="3" t="s">
        <v>174</v>
      </c>
      <c r="B1" s="3"/>
      <c r="C1" s="3"/>
      <c r="D1" s="3"/>
      <c r="E1" s="3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</row>
    <row r="2" spans="1:5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54" s="11" customFormat="1" ht="77.25" customHeight="1" thickBot="1">
      <c r="A3" s="157" t="s">
        <v>0</v>
      </c>
      <c r="B3" s="157" t="s">
        <v>1</v>
      </c>
      <c r="C3" s="111" t="s">
        <v>24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1" t="s">
        <v>61</v>
      </c>
      <c r="S3" s="113"/>
      <c r="T3" s="113"/>
      <c r="U3" s="113"/>
      <c r="V3" s="113"/>
      <c r="W3" s="113"/>
      <c r="X3" s="113"/>
      <c r="Y3" s="113"/>
      <c r="Z3" s="114"/>
      <c r="AA3" s="154" t="s">
        <v>11</v>
      </c>
      <c r="AB3" s="190" t="s">
        <v>12</v>
      </c>
      <c r="AC3" s="192" t="s">
        <v>13</v>
      </c>
      <c r="AD3" s="192" t="s">
        <v>14</v>
      </c>
      <c r="AE3" s="194" t="s">
        <v>68</v>
      </c>
      <c r="AF3" s="195"/>
      <c r="AG3" s="195" t="s">
        <v>127</v>
      </c>
      <c r="AH3" s="195"/>
      <c r="AI3" s="200" t="s">
        <v>109</v>
      </c>
      <c r="AJ3" s="201"/>
      <c r="AK3" s="201"/>
      <c r="AL3" s="196" t="s">
        <v>128</v>
      </c>
      <c r="AM3" s="202" t="s">
        <v>186</v>
      </c>
      <c r="AN3" s="192" t="s">
        <v>15</v>
      </c>
      <c r="AO3" s="203" t="s">
        <v>115</v>
      </c>
      <c r="AP3" s="198" t="s">
        <v>72</v>
      </c>
      <c r="AQ3" s="193" t="s">
        <v>148</v>
      </c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</row>
    <row r="4" spans="1:54" s="11" customFormat="1" ht="40.5" customHeight="1" thickBot="1">
      <c r="A4" s="115"/>
      <c r="B4" s="115"/>
      <c r="C4" s="116" t="s">
        <v>4</v>
      </c>
      <c r="D4" s="116" t="s">
        <v>88</v>
      </c>
      <c r="E4" s="116" t="s">
        <v>89</v>
      </c>
      <c r="F4" s="116" t="s">
        <v>90</v>
      </c>
      <c r="G4" s="114" t="s">
        <v>91</v>
      </c>
      <c r="H4" s="116" t="s">
        <v>42</v>
      </c>
      <c r="I4" s="116" t="s">
        <v>43</v>
      </c>
      <c r="J4" s="116" t="s">
        <v>44</v>
      </c>
      <c r="K4" s="116" t="s">
        <v>92</v>
      </c>
      <c r="L4" s="116" t="s">
        <v>93</v>
      </c>
      <c r="M4" s="116" t="s">
        <v>94</v>
      </c>
      <c r="N4" s="114" t="s">
        <v>95</v>
      </c>
      <c r="O4" s="116" t="s">
        <v>96</v>
      </c>
      <c r="P4" s="116" t="s">
        <v>97</v>
      </c>
      <c r="Q4" s="116" t="s">
        <v>98</v>
      </c>
      <c r="R4" s="116" t="s">
        <v>99</v>
      </c>
      <c r="S4" s="116" t="s">
        <v>100</v>
      </c>
      <c r="T4" s="116" t="s">
        <v>101</v>
      </c>
      <c r="U4" s="116" t="s">
        <v>102</v>
      </c>
      <c r="V4" s="116" t="s">
        <v>103</v>
      </c>
      <c r="W4" s="116" t="s">
        <v>104</v>
      </c>
      <c r="X4" s="116" t="s">
        <v>105</v>
      </c>
      <c r="Y4" s="116" t="s">
        <v>106</v>
      </c>
      <c r="Z4" s="116" t="s">
        <v>107</v>
      </c>
      <c r="AA4" s="117"/>
      <c r="AB4" s="191"/>
      <c r="AC4" s="185"/>
      <c r="AD4" s="185"/>
      <c r="AE4" s="156" t="s">
        <v>126</v>
      </c>
      <c r="AF4" s="158"/>
      <c r="AG4" s="155" t="s">
        <v>126</v>
      </c>
      <c r="AH4" s="155"/>
      <c r="AI4" s="95" t="s">
        <v>110</v>
      </c>
      <c r="AJ4" s="95" t="s">
        <v>111</v>
      </c>
      <c r="AK4" s="95" t="s">
        <v>112</v>
      </c>
      <c r="AL4" s="197"/>
      <c r="AM4" s="202"/>
      <c r="AN4" s="185"/>
      <c r="AO4" s="203"/>
      <c r="AP4" s="199"/>
      <c r="AQ4" s="193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</row>
    <row r="5" spans="1:54" s="11" customFormat="1" ht="15.75" hidden="1">
      <c r="A5" s="118" t="s">
        <v>74</v>
      </c>
      <c r="B5" s="119"/>
      <c r="C5" s="120">
        <v>16</v>
      </c>
      <c r="D5" s="120">
        <v>2</v>
      </c>
      <c r="E5" s="121">
        <v>2</v>
      </c>
      <c r="F5" s="120">
        <v>2</v>
      </c>
      <c r="G5" s="121">
        <v>0</v>
      </c>
      <c r="H5" s="121">
        <v>0</v>
      </c>
      <c r="I5" s="121">
        <v>3</v>
      </c>
      <c r="J5" s="121">
        <v>2</v>
      </c>
      <c r="K5" s="121">
        <v>0</v>
      </c>
      <c r="L5" s="121">
        <v>2</v>
      </c>
      <c r="M5" s="120">
        <v>1</v>
      </c>
      <c r="N5" s="121">
        <v>0</v>
      </c>
      <c r="O5" s="121">
        <v>2</v>
      </c>
      <c r="P5" s="121">
        <v>2</v>
      </c>
      <c r="Q5" s="122">
        <v>2</v>
      </c>
      <c r="R5" s="120">
        <v>2</v>
      </c>
      <c r="S5" s="123">
        <v>1</v>
      </c>
      <c r="T5" s="123">
        <v>2</v>
      </c>
      <c r="U5" s="123">
        <v>1</v>
      </c>
      <c r="V5" s="123">
        <v>1</v>
      </c>
      <c r="W5" s="123">
        <v>2</v>
      </c>
      <c r="X5" s="123">
        <v>0</v>
      </c>
      <c r="Y5" s="123">
        <v>2</v>
      </c>
      <c r="Z5" s="123">
        <v>4</v>
      </c>
      <c r="AA5" s="124"/>
      <c r="AB5" s="125">
        <v>3288</v>
      </c>
      <c r="AC5" s="125">
        <f>SUM(AB5/100)</f>
        <v>32.880000000000003</v>
      </c>
      <c r="AD5" s="125">
        <f>SUM(AA5*AC5)</f>
        <v>0</v>
      </c>
      <c r="AE5" s="126"/>
      <c r="AF5" s="126"/>
      <c r="AG5" s="126"/>
      <c r="AH5" s="126">
        <v>0</v>
      </c>
      <c r="AI5" s="127"/>
      <c r="AJ5" s="127">
        <f>SUM(AI5/1.3)</f>
        <v>0</v>
      </c>
      <c r="AK5" s="127">
        <f>SUM(AI5-AJ5)</f>
        <v>0</v>
      </c>
      <c r="AL5" s="128"/>
      <c r="AM5" s="129"/>
      <c r="AN5" s="130">
        <f>SUM(AD5+AF5+AH5+AI5+AM5)</f>
        <v>0</v>
      </c>
      <c r="AO5" s="130">
        <f>SUM(AD5+AF5+AH5)</f>
        <v>0</v>
      </c>
      <c r="AP5" s="131">
        <f>AB5-AD5-AF5</f>
        <v>3288</v>
      </c>
    </row>
    <row r="6" spans="1:54" s="11" customFormat="1" ht="40.15" hidden="1" customHeight="1">
      <c r="A6" s="131" t="s">
        <v>75</v>
      </c>
      <c r="B6" s="131" t="s">
        <v>129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1"/>
      <c r="AB6" s="127"/>
      <c r="AC6" s="133">
        <f>SUM(AB6/100)</f>
        <v>0</v>
      </c>
      <c r="AD6" s="133">
        <f>SUM(AA6*AC6)</f>
        <v>0</v>
      </c>
      <c r="AE6" s="128">
        <v>30</v>
      </c>
      <c r="AF6" s="134">
        <f>SUM(AI6*AE6)/100</f>
        <v>0</v>
      </c>
      <c r="AG6" s="135">
        <v>60</v>
      </c>
      <c r="AH6" s="135">
        <f>SUM(AI6*AG6)/100</f>
        <v>0</v>
      </c>
      <c r="AI6" s="127"/>
      <c r="AJ6" s="127">
        <f>SUM(AI6/1.3)</f>
        <v>0</v>
      </c>
      <c r="AK6" s="127">
        <f>SUM(AI6-AJ6)</f>
        <v>0</v>
      </c>
      <c r="AL6" s="127">
        <f>SUM(AI6*25/100)</f>
        <v>0</v>
      </c>
      <c r="AM6" s="136">
        <f>SUM(AI6*25/100)</f>
        <v>0</v>
      </c>
      <c r="AN6" s="130">
        <f>SUM(AD6+AF6+AH6+AI6+AM6+AL6)</f>
        <v>0</v>
      </c>
      <c r="AO6" s="130">
        <f>SUM(AD6+AF6+AH6)</f>
        <v>0</v>
      </c>
      <c r="AP6" s="137">
        <f>SUM(AB6-AD6-AF6-AH6)</f>
        <v>0</v>
      </c>
    </row>
    <row r="7" spans="1:54" s="11" customFormat="1" ht="47.25" hidden="1">
      <c r="A7" s="138" t="s">
        <v>76</v>
      </c>
      <c r="B7" s="131" t="s">
        <v>78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1">
        <v>0</v>
      </c>
      <c r="AB7" s="139"/>
      <c r="AC7" s="125">
        <f>SUM(AB7/100)</f>
        <v>0</v>
      </c>
      <c r="AD7" s="125">
        <f>SUM(AA7*AC7)</f>
        <v>0</v>
      </c>
      <c r="AE7" s="140"/>
      <c r="AF7" s="139">
        <f>1000-1000</f>
        <v>0</v>
      </c>
      <c r="AG7" s="141"/>
      <c r="AH7" s="141">
        <v>0</v>
      </c>
      <c r="AI7" s="127">
        <v>13333.11</v>
      </c>
      <c r="AJ7" s="127">
        <f>SUM(AI7/1.3)</f>
        <v>10256.238461538462</v>
      </c>
      <c r="AK7" s="127">
        <f>SUM(AI7-AJ7)</f>
        <v>3076.8715384615389</v>
      </c>
      <c r="AL7" s="127"/>
      <c r="AM7" s="142"/>
      <c r="AN7" s="130">
        <f>SUM(AD7+AF7+AH7+AI7+AM7)</f>
        <v>13333.11</v>
      </c>
      <c r="AO7" s="130">
        <f>SUM(AD7+AF7+AH7)</f>
        <v>0</v>
      </c>
      <c r="AP7" s="131">
        <f>SUM(AB7-AD7-AF7-AH7)</f>
        <v>0</v>
      </c>
      <c r="AQ7" s="143">
        <f>SUM(AB7+AI7)</f>
        <v>13333.11</v>
      </c>
    </row>
    <row r="8" spans="1:54" s="153" customFormat="1" ht="40.15" customHeight="1">
      <c r="A8" s="138" t="s">
        <v>77</v>
      </c>
      <c r="B8" s="144" t="s">
        <v>147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4">
        <f>79+2</f>
        <v>81</v>
      </c>
      <c r="AB8" s="146">
        <v>13197</v>
      </c>
      <c r="AC8" s="147">
        <f>SUM(AB8/100)</f>
        <v>131.97</v>
      </c>
      <c r="AD8" s="147">
        <f>SUM(AA8*AC8)</f>
        <v>10689.57</v>
      </c>
      <c r="AE8" s="148"/>
      <c r="AF8" s="146"/>
      <c r="AG8" s="149"/>
      <c r="AH8" s="149">
        <v>0</v>
      </c>
      <c r="AI8" s="150">
        <v>21164.99</v>
      </c>
      <c r="AJ8" s="150">
        <f>SUM(AI8/1.3)</f>
        <v>16280.761538461538</v>
      </c>
      <c r="AK8" s="150">
        <f>SUM(AI8-AJ8)</f>
        <v>4884.2284615384633</v>
      </c>
      <c r="AL8" s="150"/>
      <c r="AM8" s="146"/>
      <c r="AN8" s="151">
        <f>SUM(AD8+AF8+AH8+AI8+AM8)</f>
        <v>31854.560000000001</v>
      </c>
      <c r="AO8" s="151">
        <f>SUM(AD8+AF8+AH8)</f>
        <v>10689.57</v>
      </c>
      <c r="AP8" s="144">
        <f>AB8-AD8-AF8</f>
        <v>2507.4300000000003</v>
      </c>
      <c r="AQ8" s="152">
        <f>SUM(AB8+AI8)</f>
        <v>34361.990000000005</v>
      </c>
    </row>
    <row r="15" spans="1:54">
      <c r="B15" s="6"/>
    </row>
    <row r="16" spans="1:54">
      <c r="B16" s="6"/>
    </row>
    <row r="17" spans="2:2">
      <c r="B17" s="6"/>
    </row>
    <row r="18" spans="2:2">
      <c r="B18" s="6"/>
    </row>
    <row r="19" spans="2:2">
      <c r="B19" s="6"/>
    </row>
    <row r="20" spans="2:2">
      <c r="B20" s="6"/>
    </row>
    <row r="21" spans="2:2">
      <c r="B21" s="6"/>
    </row>
  </sheetData>
  <mergeCells count="12">
    <mergeCell ref="AM3:AM4"/>
    <mergeCell ref="AO3:AO4"/>
    <mergeCell ref="AB3:AB4"/>
    <mergeCell ref="AC3:AC4"/>
    <mergeCell ref="AD3:AD4"/>
    <mergeCell ref="AN3:AN4"/>
    <mergeCell ref="AQ3:AQ4"/>
    <mergeCell ref="AE3:AF3"/>
    <mergeCell ref="AG3:AH3"/>
    <mergeCell ref="AL3:AL4"/>
    <mergeCell ref="AP3:AP4"/>
    <mergeCell ref="AI3:AK3"/>
  </mergeCells>
  <phoneticPr fontId="0" type="noConversion"/>
  <pageMargins left="0.70866141732283472" right="0.70866141732283472" top="1.1417322834645669" bottom="0.74803149606299213" header="0.31496062992125984" footer="0.31496062992125984"/>
  <pageSetup paperSize="9" scale="6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2019-06-18T07:31:17Z</cp:lastPrinted>
  <dcterms:created xsi:type="dcterms:W3CDTF">2014-07-06T03:46:52Z</dcterms:created>
  <dcterms:modified xsi:type="dcterms:W3CDTF">2021-08-01T13:07:05Z</dcterms:modified>
</cp:coreProperties>
</file>