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'БОБ+ЦБ'!$A$1:$AO$13</definedName>
    <definedName name="_xlnm.Print_Area" localSheetId="4">'Детский дом (2)'!$A$1:$U$5</definedName>
    <definedName name="_xlnm.Print_Area" localSheetId="2">'ДОД (2)'!$A$1:$P$7</definedName>
    <definedName name="_xlnm.Print_Area" localSheetId="0">'ДОУ (2)'!$A$1:$Z$18</definedName>
    <definedName name="_xlnm.Print_Area" localSheetId="3">коррекц.!$A$1:$V$8</definedName>
    <definedName name="_xlnm.Print_Area" localSheetId="1">'ШКОЛЫ (2)'!$A$2:$W$20</definedName>
  </definedNames>
  <calcPr calcId="125725"/>
</workbook>
</file>

<file path=xl/calcChain.xml><?xml version="1.0" encoding="utf-8"?>
<calcChain xmlns="http://schemas.openxmlformats.org/spreadsheetml/2006/main">
  <c r="X6" i="8"/>
  <c r="Z6"/>
  <c r="X7"/>
  <c r="Z7"/>
  <c r="X8"/>
  <c r="Z8"/>
  <c r="W9"/>
  <c r="X9"/>
  <c r="Z9"/>
  <c r="X10"/>
  <c r="Z10"/>
  <c r="X11"/>
  <c r="Z11"/>
  <c r="X12"/>
  <c r="Z12"/>
  <c r="X13"/>
  <c r="Z13"/>
  <c r="X15"/>
  <c r="X16"/>
  <c r="Z16"/>
  <c r="X17"/>
  <c r="Z17"/>
  <c r="X18"/>
  <c r="Z18"/>
  <c r="Z19"/>
  <c r="X20"/>
  <c r="Z20"/>
  <c r="W5" i="7"/>
  <c r="Y5"/>
  <c r="W6"/>
  <c r="Y6"/>
  <c r="W7"/>
  <c r="Y7"/>
  <c r="W8"/>
  <c r="Y8"/>
  <c r="W9"/>
  <c r="Y9"/>
  <c r="W10"/>
  <c r="Y10"/>
  <c r="W11"/>
  <c r="Y11"/>
  <c r="W12"/>
  <c r="Y12"/>
  <c r="W14"/>
  <c r="Y14"/>
  <c r="W15"/>
  <c r="Y15"/>
  <c r="W17"/>
  <c r="W18"/>
  <c r="O5" i="10"/>
  <c r="R5"/>
  <c r="M18" i="8"/>
  <c r="M6" i="9"/>
  <c r="T8" i="8"/>
  <c r="S18" i="7"/>
  <c r="S18" i="8"/>
  <c r="D18"/>
  <c r="T14"/>
  <c r="T15"/>
  <c r="S17"/>
  <c r="F6" i="9"/>
  <c r="N6"/>
  <c r="E6"/>
  <c r="M9" i="8"/>
  <c r="S17" i="7"/>
  <c r="H6" i="9"/>
  <c r="F5"/>
  <c r="N5"/>
  <c r="H6" i="8"/>
  <c r="M6"/>
  <c r="M7"/>
  <c r="M8"/>
  <c r="M10"/>
  <c r="M11"/>
  <c r="M12"/>
  <c r="M13"/>
  <c r="M14"/>
  <c r="M15"/>
  <c r="M16"/>
  <c r="M17"/>
  <c r="M19"/>
  <c r="M20"/>
  <c r="P6" i="7"/>
  <c r="P7"/>
  <c r="P8"/>
  <c r="P9"/>
  <c r="P10"/>
  <c r="P11"/>
  <c r="P12"/>
  <c r="P14"/>
  <c r="P15"/>
  <c r="P16"/>
  <c r="P17"/>
  <c r="P18"/>
  <c r="P5"/>
  <c r="T5" i="10"/>
  <c r="Z5" i="4"/>
  <c r="S6" i="9"/>
  <c r="AP9" i="6"/>
  <c r="AN9"/>
  <c r="AH9"/>
  <c r="AO9"/>
  <c r="F11" i="8"/>
  <c r="S19"/>
  <c r="M5" i="10"/>
  <c r="X5" i="4"/>
  <c r="AL9" i="6"/>
  <c r="S16" i="7"/>
  <c r="R6"/>
  <c r="AQ9" i="6"/>
  <c r="T20" i="8"/>
  <c r="H18" i="7"/>
  <c r="H10"/>
  <c r="E10"/>
  <c r="F10" s="1"/>
  <c r="E18"/>
  <c r="F18" s="1"/>
  <c r="L18"/>
  <c r="M18" s="1"/>
  <c r="L10"/>
  <c r="M10" s="1"/>
  <c r="F7" i="8"/>
  <c r="E5" i="7"/>
  <c r="F5" s="1"/>
  <c r="S5" i="4"/>
  <c r="E16" i="8"/>
  <c r="F16" s="1"/>
  <c r="E15"/>
  <c r="F15" s="1"/>
  <c r="F6"/>
  <c r="I6" s="1"/>
  <c r="H11" i="7"/>
  <c r="E15"/>
  <c r="F15" s="1"/>
  <c r="E14" i="8"/>
  <c r="F14" s="1"/>
  <c r="I14" s="1"/>
  <c r="R5" i="7"/>
  <c r="E6"/>
  <c r="F6" s="1"/>
  <c r="E7"/>
  <c r="F7" s="1"/>
  <c r="E8"/>
  <c r="F8" s="1"/>
  <c r="E9"/>
  <c r="F9" s="1"/>
  <c r="E11"/>
  <c r="F11" s="1"/>
  <c r="E12"/>
  <c r="F12" s="1"/>
  <c r="E14"/>
  <c r="F14" s="1"/>
  <c r="E16"/>
  <c r="F16" s="1"/>
  <c r="E17"/>
  <c r="F17" s="1"/>
  <c r="H7" i="8"/>
  <c r="I7" s="1"/>
  <c r="U7" s="1"/>
  <c r="H8"/>
  <c r="H9"/>
  <c r="H10"/>
  <c r="H11"/>
  <c r="I11" s="1"/>
  <c r="U11" s="1"/>
  <c r="H12"/>
  <c r="H13"/>
  <c r="H14"/>
  <c r="H15"/>
  <c r="H16"/>
  <c r="H17"/>
  <c r="H18"/>
  <c r="H19"/>
  <c r="H20"/>
  <c r="E20"/>
  <c r="F20" s="1"/>
  <c r="E19"/>
  <c r="F19" s="1"/>
  <c r="E17"/>
  <c r="F17" s="1"/>
  <c r="I17" s="1"/>
  <c r="E13"/>
  <c r="F13" s="1"/>
  <c r="I13" s="1"/>
  <c r="E12"/>
  <c r="F12" s="1"/>
  <c r="E10"/>
  <c r="F10" s="1"/>
  <c r="I10" s="1"/>
  <c r="U10" s="1"/>
  <c r="E9"/>
  <c r="F9" s="1"/>
  <c r="I9" s="1"/>
  <c r="U9" s="1"/>
  <c r="E8"/>
  <c r="F8" s="1"/>
  <c r="I8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6"/>
  <c r="P6" s="1"/>
  <c r="E5" i="9"/>
  <c r="J5"/>
  <c r="K5"/>
  <c r="S9" i="8"/>
  <c r="S13"/>
  <c r="I5" i="10"/>
  <c r="J5"/>
  <c r="E5"/>
  <c r="F5"/>
  <c r="Q6" i="9"/>
  <c r="J6"/>
  <c r="K6"/>
  <c r="Q5"/>
  <c r="S16" i="8"/>
  <c r="L20"/>
  <c r="Q19"/>
  <c r="X19" s="1"/>
  <c r="K19"/>
  <c r="L17"/>
  <c r="Q14"/>
  <c r="X14" s="1"/>
  <c r="Q10"/>
  <c r="K9"/>
  <c r="L17" i="7"/>
  <c r="M17" s="1"/>
  <c r="H17"/>
  <c r="N16"/>
  <c r="W16" s="1"/>
  <c r="L16"/>
  <c r="M16" s="1"/>
  <c r="H16"/>
  <c r="L15"/>
  <c r="M15" s="1"/>
  <c r="H15"/>
  <c r="L14"/>
  <c r="M14" s="1"/>
  <c r="H14"/>
  <c r="L12"/>
  <c r="M12" s="1"/>
  <c r="H12"/>
  <c r="N11"/>
  <c r="L11"/>
  <c r="M11" s="1"/>
  <c r="L9"/>
  <c r="M9" s="1"/>
  <c r="H9"/>
  <c r="L8"/>
  <c r="M8" s="1"/>
  <c r="H8"/>
  <c r="L7"/>
  <c r="M7" s="1"/>
  <c r="H7"/>
  <c r="L6"/>
  <c r="M6" s="1"/>
  <c r="H6"/>
  <c r="L5"/>
  <c r="M5" s="1"/>
  <c r="H5"/>
  <c r="AQ8" i="6"/>
  <c r="W5" i="4"/>
  <c r="AF7" i="6"/>
  <c r="AH7"/>
  <c r="AC7"/>
  <c r="AD7"/>
  <c r="AP7"/>
  <c r="AM7"/>
  <c r="AL7"/>
  <c r="J5" i="4"/>
  <c r="K5"/>
  <c r="AF8" i="6"/>
  <c r="AD9"/>
  <c r="AC6"/>
  <c r="AD6"/>
  <c r="AO6"/>
  <c r="AJ7"/>
  <c r="AK7"/>
  <c r="AJ8"/>
  <c r="AK8"/>
  <c r="AJ9"/>
  <c r="AK9"/>
  <c r="AJ6"/>
  <c r="AK6"/>
  <c r="P5" i="4"/>
  <c r="Q5"/>
  <c r="AC8" i="6"/>
  <c r="AD8"/>
  <c r="AP6"/>
  <c r="AO7"/>
  <c r="AN7"/>
  <c r="AN6"/>
  <c r="AO8"/>
  <c r="AP8"/>
  <c r="AN8"/>
  <c r="P6" i="9"/>
  <c r="T5" i="4"/>
  <c r="V5"/>
  <c r="Q5" i="10"/>
  <c r="P5"/>
  <c r="U5" i="4"/>
  <c r="O6" i="9"/>
  <c r="P5"/>
  <c r="O5"/>
  <c r="U8" i="8" l="1"/>
  <c r="V8"/>
  <c r="W8"/>
  <c r="U13"/>
  <c r="V13"/>
  <c r="W13"/>
  <c r="U14"/>
  <c r="V14"/>
  <c r="W14"/>
  <c r="U6"/>
  <c r="V6"/>
  <c r="W6"/>
  <c r="U17"/>
  <c r="W11"/>
  <c r="W7"/>
  <c r="V17"/>
  <c r="I20"/>
  <c r="W17"/>
  <c r="I12"/>
  <c r="V11"/>
  <c r="V10"/>
  <c r="V9"/>
  <c r="V7"/>
  <c r="W10"/>
  <c r="I19"/>
  <c r="I15"/>
  <c r="I16"/>
  <c r="E18"/>
  <c r="F18" s="1"/>
  <c r="I18" s="1"/>
  <c r="I11" i="7"/>
  <c r="I12"/>
  <c r="T11"/>
  <c r="I18"/>
  <c r="I16"/>
  <c r="I6"/>
  <c r="I17"/>
  <c r="I8"/>
  <c r="I5"/>
  <c r="I10"/>
  <c r="I7"/>
  <c r="I9"/>
  <c r="I14"/>
  <c r="I15"/>
  <c r="T7"/>
  <c r="U16" i="8" l="1"/>
  <c r="W16"/>
  <c r="V16"/>
  <c r="U12"/>
  <c r="V12"/>
  <c r="W12"/>
  <c r="U18"/>
  <c r="W18"/>
  <c r="V18"/>
  <c r="U19"/>
  <c r="W19"/>
  <c r="V19"/>
  <c r="U20"/>
  <c r="W20"/>
  <c r="V20"/>
  <c r="U15"/>
  <c r="W15"/>
  <c r="V15"/>
  <c r="U15" i="7"/>
  <c r="V15"/>
  <c r="U10"/>
  <c r="V10"/>
  <c r="T6"/>
  <c r="U6"/>
  <c r="V6"/>
  <c r="T12"/>
  <c r="U12"/>
  <c r="V12"/>
  <c r="U7"/>
  <c r="V7"/>
  <c r="U9"/>
  <c r="V9"/>
  <c r="U8"/>
  <c r="V8"/>
  <c r="V18"/>
  <c r="U18"/>
  <c r="U14"/>
  <c r="V14"/>
  <c r="U5"/>
  <c r="V5"/>
  <c r="U16"/>
  <c r="V16"/>
  <c r="U11"/>
  <c r="V11"/>
  <c r="V17"/>
  <c r="U17"/>
  <c r="T15"/>
  <c r="T10"/>
  <c r="T17"/>
  <c r="T9"/>
  <c r="T8"/>
  <c r="T18"/>
  <c r="T14"/>
  <c r="T5"/>
  <c r="T16"/>
</calcChain>
</file>

<file path=xl/sharedStrings.xml><?xml version="1.0" encoding="utf-8"?>
<sst xmlns="http://schemas.openxmlformats.org/spreadsheetml/2006/main" count="255" uniqueCount="154">
  <si>
    <t>Наименование ОО</t>
  </si>
  <si>
    <t>Ф.И.О руководителя</t>
  </si>
  <si>
    <t>Количество баллов</t>
  </si>
  <si>
    <t>1.1. Рейтинг ОО</t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</si>
  <si>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</si>
  <si>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</si>
  <si>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</si>
  <si>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</si>
  <si>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</si>
  <si>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</si>
  <si>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Владимирцева Л. В.</t>
  </si>
  <si>
    <t>Сенафонкина О. В.</t>
  </si>
  <si>
    <t>Редковская Т. Ф.</t>
  </si>
  <si>
    <t>Хаснулина Л. Д.</t>
  </si>
  <si>
    <t>1. Качество и доступность образования</t>
  </si>
  <si>
    <t>2. Модернизация 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</si>
  <si>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</si>
  <si>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</si>
  <si>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</si>
  <si>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</si>
  <si>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</si>
  <si>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</si>
  <si>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</si>
  <si>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</si>
  <si>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t>2.Совершенствование условий для социальной адаптации</t>
  </si>
  <si>
    <t>Карпачева Т. И.</t>
  </si>
  <si>
    <t>Меренкова С. Ю.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</si>
  <si>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</si>
  <si>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</si>
  <si>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</si>
  <si>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</si>
  <si>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остаток центр фонда</t>
  </si>
  <si>
    <t>остаток цент фонда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</si>
  <si>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</si>
  <si>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</si>
  <si>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</si>
  <si>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</si>
  <si>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МБУ "Центр развития образования"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</si>
  <si>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</si>
  <si>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</si>
  <si>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</si>
  <si>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</si>
  <si>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</si>
  <si>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</si>
  <si>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</si>
  <si>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</si>
  <si>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</si>
  <si>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</si>
  <si>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</si>
  <si>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</si>
  <si>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</si>
  <si>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</si>
  <si>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</si>
  <si>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</si>
  <si>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</si>
  <si>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</si>
  <si>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</si>
  <si>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</si>
  <si>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</si>
  <si>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</si>
  <si>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</si>
  <si>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</si>
  <si>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</si>
  <si>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</si>
  <si>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</si>
  <si>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</si>
  <si>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</si>
  <si>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</si>
  <si>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</si>
  <si>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</si>
  <si>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</si>
  <si>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</si>
  <si>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</si>
  <si>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</si>
  <si>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</si>
  <si>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</si>
  <si>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</si>
  <si>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</si>
  <si>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</si>
  <si>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</si>
  <si>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</si>
  <si>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</si>
  <si>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</si>
  <si>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</si>
  <si>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</si>
  <si>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</si>
  <si>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</si>
  <si>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</si>
  <si>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</si>
  <si>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</si>
  <si>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</si>
  <si>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</si>
  <si>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5. МБДОУ "Калинкинский д/с"</t>
  </si>
  <si>
    <t>7. МБДОУ "Окуневский д/с "Умка"</t>
  </si>
  <si>
    <t>8. МБДОУ "Озерский д/с"</t>
  </si>
  <si>
    <t>в т.ч. стим выплат</t>
  </si>
  <si>
    <t>в том числе стим выплат</t>
  </si>
  <si>
    <t>задолженность по родит пл</t>
  </si>
  <si>
    <t>колич баллов по оцен листам</t>
  </si>
  <si>
    <t>Сафронов А.М.</t>
  </si>
  <si>
    <t>Зудина Т.С.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</si>
  <si>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</si>
  <si>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</si>
  <si>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</si>
  <si>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</si>
  <si>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</si>
  <si>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</si>
  <si>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</si>
  <si>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</si>
  <si>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</si>
  <si>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</si>
  <si>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</si>
  <si>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</si>
  <si>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</si>
  <si>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</si>
  <si>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Брехт Наталья Николаевна</t>
  </si>
  <si>
    <t>Перфильев А.Н.</t>
  </si>
  <si>
    <t>Горемыкина И.В.</t>
  </si>
  <si>
    <t>Бауман Т.И.</t>
  </si>
  <si>
    <t>Пискунова Е,А.</t>
  </si>
  <si>
    <t>5% за долг по родит плате</t>
  </si>
  <si>
    <t>В т.ч стим выплат</t>
  </si>
  <si>
    <t>Савенков П.Г.</t>
  </si>
  <si>
    <t>Дроздова Л.В.</t>
  </si>
  <si>
    <t>Завьялова Т.Б.</t>
  </si>
  <si>
    <t>6. МБДОУ "Каменский д/с"</t>
  </si>
  <si>
    <t>Колерова М.С.</t>
  </si>
  <si>
    <t>Ефремова Т.Н.</t>
  </si>
  <si>
    <t>Мальцева О.В.</t>
  </si>
  <si>
    <t>Медведева О.А.</t>
  </si>
  <si>
    <t>Итого баллов за минусом5%</t>
  </si>
  <si>
    <t>Итого баллов за минусом 5%</t>
  </si>
  <si>
    <t>сложность и напр</t>
  </si>
  <si>
    <t>Литке Д.С.</t>
  </si>
  <si>
    <t>Лукашенко Л.В.</t>
  </si>
  <si>
    <t>Процент</t>
  </si>
  <si>
    <t>Сумма</t>
  </si>
  <si>
    <t>км</t>
  </si>
  <si>
    <t>18 км</t>
  </si>
  <si>
    <t>-</t>
  </si>
  <si>
    <t>расчет оплаты труда  руководителя - 01.07.2021г.</t>
  </si>
  <si>
    <t>9. МБДОУ "Протопоповский д/с"</t>
  </si>
  <si>
    <t>10. МБДОУ "Трудовской д/с"</t>
  </si>
  <si>
    <t>11. МБДОУ "Промышленновский д/с № 1 "Рябинка"</t>
  </si>
  <si>
    <t>12. МБДОУ "Детский сад "Светлячок"</t>
  </si>
  <si>
    <t>13. МАДОУ Промышленновский д/с "Сказка"</t>
  </si>
  <si>
    <t>3. МБОУ "Краснинская ООШ"</t>
  </si>
  <si>
    <t>4. МБОУ "Лебедевская ООШ"</t>
  </si>
  <si>
    <t>8. МБОУ "Титовская ООШ"</t>
  </si>
  <si>
    <t>3. УДО ДДТ</t>
  </si>
  <si>
    <t>2. МБОУ ДО "ДЮСШ п. Плотниково"</t>
  </si>
  <si>
    <t>МКОУ Падунская "Школа-интернат"</t>
  </si>
  <si>
    <t>МКУ Окуневский детский дом "Мечта"</t>
  </si>
  <si>
    <t>МБУ "Центр психолого-медико-социального сопровождения"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</si>
</sst>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0" fillId="0" borderId="0" xfId="0" applyFill="1"/>
    <xf numFmtId="0" fontId="8" fillId="0" borderId="0" xfId="0" applyFont="1" applyFill="1"/>
    <xf numFmtId="0" fontId="7" fillId="0" borderId="0" xfId="0" applyFont="1" applyFill="1"/>
    <xf numFmtId="0" fontId="12" fillId="0" borderId="10" xfId="0" applyFont="1" applyFill="1" applyBorder="1"/>
    <xf numFmtId="2" fontId="12" fillId="0" borderId="10" xfId="0" applyNumberFormat="1" applyFont="1" applyFill="1" applyBorder="1"/>
    <xf numFmtId="2" fontId="12" fillId="0" borderId="10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2" fontId="12" fillId="0" borderId="12" xfId="0" applyNumberFormat="1" applyFont="1" applyFill="1" applyBorder="1" applyAlignment="1">
      <alignment horizontal="right" vertical="center"/>
    </xf>
    <xf numFmtId="1" fontId="12" fillId="0" borderId="13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/>
    <xf numFmtId="1" fontId="12" fillId="0" borderId="10" xfId="0" applyNumberFormat="1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2" fontId="12" fillId="2" borderId="10" xfId="0" applyNumberFormat="1" applyFont="1" applyFill="1" applyBorder="1" applyAlignment="1">
      <alignment horizontal="right" vertical="center"/>
    </xf>
    <xf numFmtId="1" fontId="12" fillId="2" borderId="12" xfId="0" applyNumberFormat="1" applyFont="1" applyFill="1" applyBorder="1" applyAlignment="1">
      <alignment horizontal="right" vertical="center"/>
    </xf>
    <xf numFmtId="2" fontId="12" fillId="2" borderId="1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/>
    <xf numFmtId="0" fontId="12" fillId="3" borderId="10" xfId="0" applyFont="1" applyFill="1" applyBorder="1"/>
    <xf numFmtId="0" fontId="7" fillId="3" borderId="10" xfId="0" applyFont="1" applyFill="1" applyBorder="1"/>
    <xf numFmtId="2" fontId="12" fillId="2" borderId="12" xfId="0" applyNumberFormat="1" applyFont="1" applyFill="1" applyBorder="1" applyAlignment="1">
      <alignment horizontal="right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0" xfId="0" applyBorder="1"/>
    <xf numFmtId="0" fontId="15" fillId="0" borderId="10" xfId="0" applyFont="1" applyFill="1" applyBorder="1"/>
    <xf numFmtId="2" fontId="15" fillId="0" borderId="10" xfId="0" applyNumberFormat="1" applyFont="1" applyFill="1" applyBorder="1"/>
    <xf numFmtId="0" fontId="16" fillId="0" borderId="10" xfId="0" applyFont="1" applyFill="1" applyBorder="1"/>
    <xf numFmtId="0" fontId="17" fillId="0" borderId="10" xfId="0" applyFont="1" applyFill="1" applyBorder="1"/>
    <xf numFmtId="0" fontId="16" fillId="0" borderId="1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8" fillId="0" borderId="16" xfId="0" applyNumberFormat="1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right" vertical="center"/>
    </xf>
    <xf numFmtId="14" fontId="0" fillId="0" borderId="0" xfId="0" applyNumberFormat="1"/>
    <xf numFmtId="2" fontId="16" fillId="0" borderId="10" xfId="0" applyNumberFormat="1" applyFont="1" applyFill="1" applyBorder="1"/>
    <xf numFmtId="2" fontId="16" fillId="0" borderId="13" xfId="0" applyNumberFormat="1" applyFont="1" applyFill="1" applyBorder="1" applyAlignment="1">
      <alignment horizontal="right" vertical="center"/>
    </xf>
    <xf numFmtId="0" fontId="0" fillId="5" borderId="0" xfId="0" applyFill="1"/>
    <xf numFmtId="2" fontId="19" fillId="0" borderId="10" xfId="0" applyNumberFormat="1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16" fillId="0" borderId="10" xfId="0" applyFont="1" applyFill="1" applyBorder="1" applyAlignment="1">
      <alignment wrapText="1"/>
    </xf>
    <xf numFmtId="164" fontId="16" fillId="0" borderId="13" xfId="0" applyNumberFormat="1" applyFont="1" applyFill="1" applyBorder="1" applyAlignment="1">
      <alignment horizontal="right" vertical="center"/>
    </xf>
    <xf numFmtId="0" fontId="16" fillId="4" borderId="10" xfId="0" applyFont="1" applyFill="1" applyBorder="1"/>
    <xf numFmtId="2" fontId="20" fillId="0" borderId="0" xfId="0" applyNumberFormat="1" applyFont="1"/>
    <xf numFmtId="0" fontId="14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0" xfId="0" applyFont="1" applyFill="1" applyBorder="1"/>
    <xf numFmtId="0" fontId="5" fillId="0" borderId="0" xfId="0" applyFont="1"/>
    <xf numFmtId="0" fontId="14" fillId="0" borderId="1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2" fontId="14" fillId="0" borderId="1" xfId="0" applyNumberFormat="1" applyFont="1" applyFill="1" applyBorder="1" applyAlignment="1">
      <alignment vertical="top"/>
    </xf>
    <xf numFmtId="2" fontId="14" fillId="0" borderId="16" xfId="0" applyNumberFormat="1" applyFont="1" applyFill="1" applyBorder="1" applyAlignment="1">
      <alignment vertical="top"/>
    </xf>
    <xf numFmtId="2" fontId="21" fillId="0" borderId="10" xfId="0" applyNumberFormat="1" applyFont="1" applyFill="1" applyBorder="1"/>
    <xf numFmtId="0" fontId="21" fillId="0" borderId="10" xfId="0" applyFont="1" applyBorder="1"/>
    <xf numFmtId="0" fontId="21" fillId="0" borderId="0" xfId="0" applyFont="1"/>
    <xf numFmtId="0" fontId="21" fillId="0" borderId="10" xfId="0" applyFont="1" applyFill="1" applyBorder="1"/>
    <xf numFmtId="0" fontId="21" fillId="0" borderId="0" xfId="0" applyFont="1" applyFill="1"/>
    <xf numFmtId="2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/>
    </xf>
    <xf numFmtId="0" fontId="2" fillId="6" borderId="9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0" fillId="6" borderId="10" xfId="0" applyFill="1" applyBorder="1"/>
    <xf numFmtId="0" fontId="0" fillId="6" borderId="0" xfId="0" applyFill="1"/>
    <xf numFmtId="0" fontId="2" fillId="6" borderId="18" xfId="0" applyFont="1" applyFill="1" applyBorder="1"/>
    <xf numFmtId="0" fontId="2" fillId="6" borderId="21" xfId="0" applyFont="1" applyFill="1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0" fillId="6" borderId="23" xfId="0" applyFill="1" applyBorder="1" applyAlignment="1">
      <alignment vertical="top" wrapText="1"/>
    </xf>
    <xf numFmtId="0" fontId="0" fillId="6" borderId="23" xfId="0" applyFill="1" applyBorder="1"/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top" wrapText="1"/>
    </xf>
    <xf numFmtId="0" fontId="2" fillId="6" borderId="8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15" fillId="6" borderId="11" xfId="0" applyFont="1" applyFill="1" applyBorder="1"/>
    <xf numFmtId="0" fontId="15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15" fillId="6" borderId="22" xfId="0" applyFont="1" applyFill="1" applyBorder="1"/>
    <xf numFmtId="2" fontId="15" fillId="6" borderId="22" xfId="0" applyNumberFormat="1" applyFont="1" applyFill="1" applyBorder="1"/>
    <xf numFmtId="2" fontId="15" fillId="6" borderId="16" xfId="0" applyNumberFormat="1" applyFont="1" applyFill="1" applyBorder="1"/>
    <xf numFmtId="0" fontId="15" fillId="6" borderId="16" xfId="0" applyFont="1" applyFill="1" applyBorder="1"/>
    <xf numFmtId="2" fontId="15" fillId="6" borderId="10" xfId="0" applyNumberFormat="1" applyFont="1" applyFill="1" applyBorder="1"/>
    <xf numFmtId="2" fontId="21" fillId="6" borderId="10" xfId="0" applyNumberFormat="1" applyFont="1" applyFill="1" applyBorder="1" applyAlignment="1">
      <alignment vertical="top" wrapText="1"/>
    </xf>
    <xf numFmtId="2" fontId="21" fillId="6" borderId="10" xfId="0" applyNumberFormat="1" applyFont="1" applyFill="1" applyBorder="1"/>
    <xf numFmtId="0" fontId="21" fillId="6" borderId="10" xfId="0" applyFont="1" applyFill="1" applyBorder="1"/>
    <xf numFmtId="0" fontId="21" fillId="6" borderId="0" xfId="0" applyFont="1" applyFill="1"/>
    <xf numFmtId="2" fontId="15" fillId="6" borderId="10" xfId="0" applyNumberFormat="1" applyFont="1" applyFill="1" applyBorder="1" applyAlignment="1">
      <alignment vertical="center" wrapText="1"/>
    </xf>
    <xf numFmtId="0" fontId="15" fillId="6" borderId="10" xfId="0" applyFont="1" applyFill="1" applyBorder="1"/>
    <xf numFmtId="0" fontId="15" fillId="6" borderId="13" xfId="0" applyFont="1" applyFill="1" applyBorder="1"/>
    <xf numFmtId="0" fontId="15" fillId="6" borderId="14" xfId="0" applyFont="1" applyFill="1" applyBorder="1"/>
    <xf numFmtId="1" fontId="15" fillId="6" borderId="1" xfId="0" applyNumberFormat="1" applyFont="1" applyFill="1" applyBorder="1"/>
    <xf numFmtId="1" fontId="15" fillId="6" borderId="16" xfId="0" applyNumberFormat="1" applyFont="1" applyFill="1" applyBorder="1"/>
    <xf numFmtId="0" fontId="15" fillId="6" borderId="10" xfId="0" applyFont="1" applyFill="1" applyBorder="1" applyAlignment="1">
      <alignment vertical="center" wrapText="1"/>
    </xf>
    <xf numFmtId="0" fontId="16" fillId="6" borderId="22" xfId="0" applyFont="1" applyFill="1" applyBorder="1"/>
    <xf numFmtId="0" fontId="5" fillId="6" borderId="2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2" fillId="6" borderId="11" xfId="0" applyFont="1" applyFill="1" applyBorder="1"/>
    <xf numFmtId="0" fontId="14" fillId="6" borderId="11" xfId="0" applyFont="1" applyFill="1" applyBorder="1"/>
    <xf numFmtId="0" fontId="5" fillId="6" borderId="1" xfId="0" applyFont="1" applyFill="1" applyBorder="1"/>
    <xf numFmtId="2" fontId="14" fillId="6" borderId="1" xfId="0" applyNumberFormat="1" applyFont="1" applyFill="1" applyBorder="1"/>
    <xf numFmtId="0" fontId="14" fillId="6" borderId="1" xfId="0" applyFont="1" applyFill="1" applyBorder="1"/>
    <xf numFmtId="2" fontId="5" fillId="6" borderId="1" xfId="0" applyNumberFormat="1" applyFont="1" applyFill="1" applyBorder="1"/>
    <xf numFmtId="0" fontId="14" fillId="6" borderId="22" xfId="0" applyFont="1" applyFill="1" applyBorder="1"/>
    <xf numFmtId="2" fontId="14" fillId="6" borderId="22" xfId="0" applyNumberFormat="1" applyFont="1" applyFill="1" applyBorder="1"/>
    <xf numFmtId="2" fontId="14" fillId="6" borderId="16" xfId="0" applyNumberFormat="1" applyFont="1" applyFill="1" applyBorder="1"/>
    <xf numFmtId="0" fontId="14" fillId="6" borderId="16" xfId="0" applyFont="1" applyFill="1" applyBorder="1"/>
    <xf numFmtId="2" fontId="18" fillId="6" borderId="16" xfId="0" applyNumberFormat="1" applyFont="1" applyFill="1" applyBorder="1" applyAlignment="1">
      <alignment vertical="top" wrapText="1"/>
    </xf>
    <xf numFmtId="2" fontId="18" fillId="6" borderId="10" xfId="0" applyNumberFormat="1" applyFont="1" applyFill="1" applyBorder="1" applyAlignment="1">
      <alignment vertical="top" wrapText="1"/>
    </xf>
    <xf numFmtId="0" fontId="18" fillId="6" borderId="10" xfId="0" applyFont="1" applyFill="1" applyBorder="1"/>
    <xf numFmtId="2" fontId="18" fillId="6" borderId="10" xfId="0" applyNumberFormat="1" applyFont="1" applyFill="1" applyBorder="1"/>
    <xf numFmtId="0" fontId="2" fillId="6" borderId="1" xfId="0" applyFont="1" applyFill="1" applyBorder="1"/>
    <xf numFmtId="0" fontId="4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top" wrapText="1"/>
    </xf>
    <xf numFmtId="0" fontId="14" fillId="6" borderId="9" xfId="0" applyFont="1" applyFill="1" applyBorder="1" applyAlignment="1">
      <alignment vertical="top" wrapText="1"/>
    </xf>
    <xf numFmtId="0" fontId="19" fillId="6" borderId="9" xfId="0" applyFont="1" applyFill="1" applyBorder="1" applyAlignment="1">
      <alignment vertical="top" wrapText="1"/>
    </xf>
    <xf numFmtId="0" fontId="19" fillId="6" borderId="10" xfId="0" applyFont="1" applyFill="1" applyBorder="1"/>
    <xf numFmtId="0" fontId="19" fillId="6" borderId="0" xfId="0" applyFont="1" applyFill="1"/>
    <xf numFmtId="0" fontId="14" fillId="6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top" wrapText="1"/>
    </xf>
    <xf numFmtId="0" fontId="14" fillId="6" borderId="8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vertical="top" wrapText="1"/>
    </xf>
    <xf numFmtId="0" fontId="19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18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top" wrapText="1"/>
    </xf>
    <xf numFmtId="0" fontId="6" fillId="6" borderId="19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20" xfId="0" applyFont="1" applyFill="1" applyBorder="1" applyAlignment="1">
      <alignment vertical="top" wrapText="1"/>
    </xf>
    <xf numFmtId="0" fontId="6" fillId="6" borderId="21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0" fillId="6" borderId="23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0" fillId="6" borderId="23" xfId="0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19" fillId="6" borderId="10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top" wrapText="1"/>
    </xf>
    <xf numFmtId="0" fontId="14" fillId="6" borderId="23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center" vertical="top" wrapText="1"/>
    </xf>
    <xf numFmtId="0" fontId="19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23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3" fillId="6" borderId="0" xfId="0" applyFont="1" applyFill="1"/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67"/>
  <sheetViews>
    <sheetView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0" sqref="A20"/>
    </sheetView>
  </sheetViews>
  <sheetFormatPr defaultRowHeight="15"/>
  <cols>
    <col min="1" max="1" width="50.85546875" customWidth="1"/>
    <col min="2" max="2" width="20.7109375" customWidth="1"/>
    <col min="3" max="3" width="13.5703125" customWidth="1"/>
    <col min="4" max="4" width="9.7109375" style="89" customWidth="1"/>
    <col min="5" max="5" width="9" customWidth="1"/>
    <col min="6" max="6" width="8.28515625" customWidth="1"/>
    <col min="7" max="7" width="8.5703125" customWidth="1"/>
    <col min="8" max="8" width="8.85546875" customWidth="1"/>
    <col min="9" max="9" width="12.28515625" customWidth="1"/>
    <col min="10" max="10" width="7.5703125" customWidth="1"/>
    <col min="11" max="11" width="11.7109375" customWidth="1"/>
    <col min="12" max="14" width="11.28515625" customWidth="1"/>
    <col min="15" max="15" width="10" customWidth="1"/>
    <col min="16" max="16" width="11.85546875" customWidth="1"/>
    <col min="17" max="17" width="11" customWidth="1"/>
    <col min="18" max="18" width="11.7109375" customWidth="1"/>
    <col min="19" max="19" width="11.28515625" customWidth="1"/>
    <col min="20" max="20" width="12.7109375" customWidth="1"/>
    <col min="21" max="21" width="12" customWidth="1"/>
    <col min="22" max="22" width="11" customWidth="1"/>
    <col min="23" max="23" width="12.7109375" customWidth="1"/>
    <col min="24" max="26" width="11" customWidth="1"/>
  </cols>
  <sheetData>
    <row r="1" spans="1:26" ht="18.75">
      <c r="A1" s="1" t="s">
        <v>140</v>
      </c>
      <c r="B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62.25" customHeight="1" thickBot="1">
      <c r="K2" s="12" t="s">
        <v>75</v>
      </c>
      <c r="N2" s="12" t="s">
        <v>75</v>
      </c>
      <c r="U2" s="12" t="s">
        <v>75</v>
      </c>
    </row>
    <row r="3" spans="1:26" s="89" customFormat="1" ht="49.5" customHeight="1">
      <c r="A3" s="84" t="s">
        <v>0</v>
      </c>
      <c r="B3" s="84" t="s">
        <v>1</v>
      </c>
      <c r="C3" s="179" t="s">
        <v>97</v>
      </c>
      <c r="D3" s="179" t="s">
        <v>98</v>
      </c>
      <c r="E3" s="179" t="s">
        <v>120</v>
      </c>
      <c r="F3" s="181" t="s">
        <v>130</v>
      </c>
      <c r="G3" s="179" t="s">
        <v>5</v>
      </c>
      <c r="H3" s="183" t="s">
        <v>6</v>
      </c>
      <c r="I3" s="183" t="s">
        <v>7</v>
      </c>
      <c r="J3" s="85" t="s">
        <v>29</v>
      </c>
      <c r="K3" s="191" t="s">
        <v>68</v>
      </c>
      <c r="L3" s="191"/>
      <c r="M3" s="191"/>
      <c r="N3" s="191" t="s">
        <v>72</v>
      </c>
      <c r="O3" s="192" t="s">
        <v>40</v>
      </c>
      <c r="P3" s="86" t="s">
        <v>45</v>
      </c>
      <c r="Q3" s="183" t="s">
        <v>34</v>
      </c>
      <c r="R3" s="194" t="s">
        <v>81</v>
      </c>
      <c r="S3" s="196" t="s">
        <v>82</v>
      </c>
      <c r="T3" s="87" t="s">
        <v>8</v>
      </c>
      <c r="U3" s="189" t="s">
        <v>95</v>
      </c>
      <c r="V3" s="187" t="s">
        <v>31</v>
      </c>
      <c r="W3" s="185" t="s">
        <v>101</v>
      </c>
      <c r="X3" s="88"/>
      <c r="Y3" s="88"/>
      <c r="Z3" s="88"/>
    </row>
    <row r="4" spans="1:26" s="89" customFormat="1" ht="72.75" customHeight="1">
      <c r="A4" s="90"/>
      <c r="B4" s="90"/>
      <c r="C4" s="180"/>
      <c r="D4" s="180"/>
      <c r="E4" s="180"/>
      <c r="F4" s="182"/>
      <c r="G4" s="180"/>
      <c r="H4" s="184"/>
      <c r="I4" s="184"/>
      <c r="J4" s="91"/>
      <c r="K4" s="92" t="s">
        <v>69</v>
      </c>
      <c r="L4" s="92" t="s">
        <v>70</v>
      </c>
      <c r="M4" s="92" t="s">
        <v>71</v>
      </c>
      <c r="N4" s="187"/>
      <c r="O4" s="193"/>
      <c r="P4" s="91"/>
      <c r="Q4" s="184"/>
      <c r="R4" s="195"/>
      <c r="S4" s="197"/>
      <c r="T4" s="93"/>
      <c r="U4" s="190"/>
      <c r="V4" s="188"/>
      <c r="W4" s="186"/>
      <c r="X4" s="94" t="s">
        <v>135</v>
      </c>
      <c r="Y4" s="94" t="s">
        <v>136</v>
      </c>
      <c r="Z4" s="94" t="s">
        <v>137</v>
      </c>
    </row>
    <row r="5" spans="1:26" s="79" customFormat="1" ht="26.45" customHeight="1">
      <c r="A5" s="32" t="s">
        <v>89</v>
      </c>
      <c r="B5" s="32" t="s">
        <v>9</v>
      </c>
      <c r="C5" s="32"/>
      <c r="D5" s="115">
        <v>51</v>
      </c>
      <c r="E5" s="32">
        <f>SUM(D5*5/100)</f>
        <v>2.5499999999999998</v>
      </c>
      <c r="F5" s="32">
        <f>SUM(D5-E5)</f>
        <v>48.45</v>
      </c>
      <c r="G5" s="32">
        <v>15498</v>
      </c>
      <c r="H5" s="32">
        <f t="shared" ref="H5:H18" si="0">SUM(G5/100)</f>
        <v>154.97999999999999</v>
      </c>
      <c r="I5" s="33">
        <f t="shared" ref="I5:I17" si="1">SUM(H5*F5)</f>
        <v>7508.7809999999999</v>
      </c>
      <c r="J5" s="32"/>
      <c r="K5" s="33">
        <v>36344.339999999997</v>
      </c>
      <c r="L5" s="33">
        <f t="shared" ref="L5:L18" si="2">SUM(K5/1.3)</f>
        <v>27957.184615384613</v>
      </c>
      <c r="M5" s="33">
        <f t="shared" ref="M5:M18" si="3">SUM(K5-L5)</f>
        <v>8387.1553846153838</v>
      </c>
      <c r="N5" s="32"/>
      <c r="O5" s="32"/>
      <c r="P5" s="33">
        <f>SUM(K5*X5)/100</f>
        <v>726.88679999999988</v>
      </c>
      <c r="Q5" s="32">
        <v>0</v>
      </c>
      <c r="R5" s="33">
        <f>SUM(K5*15%)</f>
        <v>5451.6509999999989</v>
      </c>
      <c r="S5" s="32"/>
      <c r="T5" s="82">
        <f>SUM(I5+J5+K5+N5+O5+P5+Q5+R5+S5)</f>
        <v>50031.658799999997</v>
      </c>
      <c r="U5" s="82">
        <f>SUM(I5+J5+O5+P5+Q5+R5+S5)</f>
        <v>13687.318799999997</v>
      </c>
      <c r="V5" s="47">
        <f>SUM(G5-I5-J5-O5-P5-Q5-R5-S5)</f>
        <v>1810.6812000000009</v>
      </c>
      <c r="W5" s="77">
        <f>SUM(G5+K5+N5)</f>
        <v>51842.34</v>
      </c>
      <c r="X5" s="78">
        <v>2</v>
      </c>
      <c r="Y5" s="78">
        <f>SUM(K5*X5/100)</f>
        <v>726.88679999999988</v>
      </c>
      <c r="Z5" s="78"/>
    </row>
    <row r="6" spans="1:26" s="81" customFormat="1" ht="26.45" customHeight="1">
      <c r="A6" s="32" t="s">
        <v>102</v>
      </c>
      <c r="B6" s="32" t="s">
        <v>133</v>
      </c>
      <c r="C6" s="32"/>
      <c r="D6" s="115">
        <v>36</v>
      </c>
      <c r="E6" s="32">
        <f t="shared" ref="E6:E18" si="4">SUM(D6*5/100)</f>
        <v>1.8</v>
      </c>
      <c r="F6" s="32">
        <f t="shared" ref="F6:F18" si="5">SUM(D6-E6)</f>
        <v>34.200000000000003</v>
      </c>
      <c r="G6" s="32">
        <v>13735</v>
      </c>
      <c r="H6" s="32">
        <f t="shared" si="0"/>
        <v>137.35</v>
      </c>
      <c r="I6" s="33">
        <f t="shared" si="1"/>
        <v>4697.37</v>
      </c>
      <c r="J6" s="32"/>
      <c r="K6" s="33">
        <v>35521.919999999998</v>
      </c>
      <c r="L6" s="33">
        <f t="shared" si="2"/>
        <v>27324.553846153845</v>
      </c>
      <c r="M6" s="33">
        <f t="shared" si="3"/>
        <v>8197.3661538461529</v>
      </c>
      <c r="N6" s="32"/>
      <c r="O6" s="32"/>
      <c r="P6" s="33">
        <f>SUM(K6*X6)/100</f>
        <v>710.4384</v>
      </c>
      <c r="Q6" s="32"/>
      <c r="R6" s="33">
        <f>SUM(K6*15%)</f>
        <v>5328.2879999999996</v>
      </c>
      <c r="S6" s="32"/>
      <c r="T6" s="82">
        <f>SUM(I6+J6+K6+N6+O6+P6+Q6+R6+S6)</f>
        <v>46258.0164</v>
      </c>
      <c r="U6" s="82">
        <f t="shared" ref="U6:U18" si="6">SUM(I6+J6+O6+P6+Q6+R6+S6)</f>
        <v>10736.096399999999</v>
      </c>
      <c r="V6" s="47">
        <f>SUM(G6-I6-J6-O6-P6-Q6-R6-S6)</f>
        <v>2998.9036000000024</v>
      </c>
      <c r="W6" s="77">
        <f t="shared" ref="W6:W18" si="7">SUM(G6+K6+N6)</f>
        <v>49256.92</v>
      </c>
      <c r="X6" s="80">
        <v>2</v>
      </c>
      <c r="Y6" s="78">
        <f t="shared" ref="Y6:Y15" si="8">SUM(K6*X6/100)</f>
        <v>710.4384</v>
      </c>
      <c r="Z6" s="80"/>
    </row>
    <row r="7" spans="1:26" s="81" customFormat="1" ht="26.45" customHeight="1">
      <c r="A7" s="32" t="s">
        <v>90</v>
      </c>
      <c r="B7" s="32" t="s">
        <v>10</v>
      </c>
      <c r="C7" s="32"/>
      <c r="D7" s="115">
        <v>43</v>
      </c>
      <c r="E7" s="32">
        <f t="shared" si="4"/>
        <v>2.15</v>
      </c>
      <c r="F7" s="32">
        <f t="shared" si="5"/>
        <v>40.85</v>
      </c>
      <c r="G7" s="32">
        <v>3267</v>
      </c>
      <c r="H7" s="32">
        <f t="shared" si="0"/>
        <v>32.67</v>
      </c>
      <c r="I7" s="33">
        <f t="shared" si="1"/>
        <v>1334.5695000000001</v>
      </c>
      <c r="J7" s="32"/>
      <c r="K7" s="33">
        <v>24696.71</v>
      </c>
      <c r="L7" s="33">
        <f t="shared" si="2"/>
        <v>18997.469230769231</v>
      </c>
      <c r="M7" s="33">
        <f t="shared" si="3"/>
        <v>5699.2407692307679</v>
      </c>
      <c r="N7" s="32"/>
      <c r="O7" s="32"/>
      <c r="P7" s="33">
        <f>SUM(K7*X7)/100</f>
        <v>493.93419999999998</v>
      </c>
      <c r="Q7" s="32">
        <v>0</v>
      </c>
      <c r="R7" s="33"/>
      <c r="S7" s="32"/>
      <c r="T7" s="82">
        <f>SUM(I7+J7+K7+N7+O7+P7+Q7+R7+S7)</f>
        <v>26525.2137</v>
      </c>
      <c r="U7" s="82">
        <f t="shared" si="6"/>
        <v>1828.5037</v>
      </c>
      <c r="V7" s="47">
        <f t="shared" ref="V7:V18" si="9">SUM(G7-I7-J7-O7-P7-Q7-R7-S7)</f>
        <v>1438.4963</v>
      </c>
      <c r="W7" s="77">
        <f t="shared" si="7"/>
        <v>27963.71</v>
      </c>
      <c r="X7" s="80">
        <v>2</v>
      </c>
      <c r="Y7" s="78">
        <f t="shared" si="8"/>
        <v>493.93419999999998</v>
      </c>
      <c r="Z7" s="80"/>
    </row>
    <row r="8" spans="1:26" s="81" customFormat="1" ht="26.45" customHeight="1">
      <c r="A8" s="32" t="s">
        <v>91</v>
      </c>
      <c r="B8" s="32" t="s">
        <v>134</v>
      </c>
      <c r="C8" s="32"/>
      <c r="D8" s="115">
        <v>35</v>
      </c>
      <c r="E8" s="32">
        <f t="shared" si="4"/>
        <v>1.75</v>
      </c>
      <c r="F8" s="32">
        <f t="shared" si="5"/>
        <v>33.25</v>
      </c>
      <c r="G8" s="32">
        <v>3924</v>
      </c>
      <c r="H8" s="32">
        <f t="shared" si="0"/>
        <v>39.24</v>
      </c>
      <c r="I8" s="33">
        <f t="shared" si="1"/>
        <v>1304.73</v>
      </c>
      <c r="J8" s="32"/>
      <c r="K8" s="33">
        <v>28252.39</v>
      </c>
      <c r="L8" s="33">
        <f t="shared" si="2"/>
        <v>21732.607692307691</v>
      </c>
      <c r="M8" s="33">
        <f t="shared" si="3"/>
        <v>6519.7823076923087</v>
      </c>
      <c r="N8" s="32"/>
      <c r="O8" s="32"/>
      <c r="P8" s="33">
        <f>SUM(K8*X8)/100</f>
        <v>282.52389999999997</v>
      </c>
      <c r="Q8" s="32"/>
      <c r="R8" s="33"/>
      <c r="S8" s="32"/>
      <c r="T8" s="82">
        <f>SUM(I8+J8+K8+N8+O8+P8+Q8+R8+S8)</f>
        <v>29839.643899999999</v>
      </c>
      <c r="U8" s="82">
        <f t="shared" si="6"/>
        <v>1587.2538999999999</v>
      </c>
      <c r="V8" s="47">
        <f t="shared" si="9"/>
        <v>2336.7460999999998</v>
      </c>
      <c r="W8" s="77">
        <f t="shared" si="7"/>
        <v>32176.39</v>
      </c>
      <c r="X8" s="80">
        <v>1</v>
      </c>
      <c r="Y8" s="78">
        <f t="shared" si="8"/>
        <v>282.52389999999997</v>
      </c>
      <c r="Z8" s="80">
        <v>8</v>
      </c>
    </row>
    <row r="9" spans="1:26" s="79" customFormat="1" ht="26.45" customHeight="1">
      <c r="A9" s="32" t="s">
        <v>92</v>
      </c>
      <c r="B9" s="32" t="s">
        <v>11</v>
      </c>
      <c r="C9" s="32"/>
      <c r="D9" s="115">
        <v>48</v>
      </c>
      <c r="E9" s="32">
        <f t="shared" si="4"/>
        <v>2.4</v>
      </c>
      <c r="F9" s="32">
        <f t="shared" si="5"/>
        <v>45.6</v>
      </c>
      <c r="G9" s="32">
        <v>3848</v>
      </c>
      <c r="H9" s="32">
        <f t="shared" si="0"/>
        <v>38.479999999999997</v>
      </c>
      <c r="I9" s="33">
        <f t="shared" si="1"/>
        <v>1754.6879999999999</v>
      </c>
      <c r="J9" s="32"/>
      <c r="K9" s="33">
        <v>32608.89</v>
      </c>
      <c r="L9" s="33">
        <f t="shared" si="2"/>
        <v>25083.761538461538</v>
      </c>
      <c r="M9" s="33">
        <f t="shared" si="3"/>
        <v>7525.1284615384611</v>
      </c>
      <c r="N9" s="32"/>
      <c r="O9" s="32"/>
      <c r="P9" s="33">
        <f>SUM(K9*X9)/100</f>
        <v>489.13335000000001</v>
      </c>
      <c r="Q9" s="32">
        <v>0</v>
      </c>
      <c r="R9" s="33"/>
      <c r="S9" s="32"/>
      <c r="T9" s="82">
        <f t="shared" ref="T9:T15" si="10">SUM(I9+J9+K9+N9+O9+P9+Q9+R9+S9)</f>
        <v>34852.711349999998</v>
      </c>
      <c r="U9" s="82">
        <f t="shared" si="6"/>
        <v>2243.8213499999997</v>
      </c>
      <c r="V9" s="47">
        <f t="shared" si="9"/>
        <v>1604.1786499999998</v>
      </c>
      <c r="W9" s="77">
        <f t="shared" si="7"/>
        <v>36456.89</v>
      </c>
      <c r="X9" s="78">
        <v>1.5</v>
      </c>
      <c r="Y9" s="78">
        <f t="shared" si="8"/>
        <v>489.13335000000001</v>
      </c>
      <c r="Z9" s="78">
        <v>13</v>
      </c>
    </row>
    <row r="10" spans="1:26" s="79" customFormat="1" ht="26.45" customHeight="1">
      <c r="A10" s="32" t="s">
        <v>125</v>
      </c>
      <c r="B10" s="32" t="s">
        <v>128</v>
      </c>
      <c r="C10" s="32"/>
      <c r="D10" s="115">
        <v>20</v>
      </c>
      <c r="E10" s="32">
        <f t="shared" si="4"/>
        <v>1</v>
      </c>
      <c r="F10" s="32">
        <f t="shared" si="5"/>
        <v>19</v>
      </c>
      <c r="G10" s="32">
        <v>4380</v>
      </c>
      <c r="H10" s="32">
        <f t="shared" si="0"/>
        <v>43.8</v>
      </c>
      <c r="I10" s="33">
        <f t="shared" si="1"/>
        <v>832.19999999999993</v>
      </c>
      <c r="J10" s="32"/>
      <c r="K10" s="33">
        <v>30822.42</v>
      </c>
      <c r="L10" s="33">
        <f t="shared" si="2"/>
        <v>23709.553846153845</v>
      </c>
      <c r="M10" s="33">
        <f t="shared" si="3"/>
        <v>7112.8661538461529</v>
      </c>
      <c r="N10" s="33"/>
      <c r="O10" s="32"/>
      <c r="P10" s="33">
        <f>SUM(K10*X10)/100</f>
        <v>462.33629999999999</v>
      </c>
      <c r="Q10" s="32"/>
      <c r="R10" s="33"/>
      <c r="S10" s="32"/>
      <c r="T10" s="82">
        <f t="shared" si="10"/>
        <v>32116.956299999998</v>
      </c>
      <c r="U10" s="82">
        <f t="shared" si="6"/>
        <v>1294.5363</v>
      </c>
      <c r="V10" s="47">
        <f t="shared" si="9"/>
        <v>3085.4637000000002</v>
      </c>
      <c r="W10" s="77">
        <f t="shared" si="7"/>
        <v>35202.42</v>
      </c>
      <c r="X10" s="78">
        <v>1.5</v>
      </c>
      <c r="Y10" s="78">
        <f t="shared" si="8"/>
        <v>462.33629999999999</v>
      </c>
      <c r="Z10" s="78">
        <v>11</v>
      </c>
    </row>
    <row r="11" spans="1:26" s="79" customFormat="1" ht="26.45" customHeight="1">
      <c r="A11" s="32" t="s">
        <v>93</v>
      </c>
      <c r="B11" s="32" t="s">
        <v>38</v>
      </c>
      <c r="C11" s="32"/>
      <c r="D11" s="115">
        <v>65</v>
      </c>
      <c r="E11" s="32">
        <f t="shared" si="4"/>
        <v>3.25</v>
      </c>
      <c r="F11" s="32">
        <f t="shared" si="5"/>
        <v>61.75</v>
      </c>
      <c r="G11" s="32">
        <v>4269</v>
      </c>
      <c r="H11" s="32">
        <f>SUM(G11/100)</f>
        <v>42.69</v>
      </c>
      <c r="I11" s="33">
        <f>SUM(H11*F11)</f>
        <v>2636.1075000000001</v>
      </c>
      <c r="J11" s="32"/>
      <c r="K11" s="33">
        <v>33364.43</v>
      </c>
      <c r="L11" s="33">
        <f t="shared" si="2"/>
        <v>25664.946153846155</v>
      </c>
      <c r="M11" s="33">
        <f t="shared" si="3"/>
        <v>7699.4838461538457</v>
      </c>
      <c r="N11" s="33">
        <f>SUM(K11*10%)</f>
        <v>3336.4430000000002</v>
      </c>
      <c r="O11" s="32"/>
      <c r="P11" s="33">
        <f>SUM(K11*X11)/100</f>
        <v>500.46645000000007</v>
      </c>
      <c r="Q11" s="32">
        <v>0</v>
      </c>
      <c r="R11" s="33"/>
      <c r="S11" s="32"/>
      <c r="T11" s="82">
        <f>SUM(I11+J11+K11+N11+O11+P11+Q11+R11+S11)</f>
        <v>39837.446949999998</v>
      </c>
      <c r="U11" s="82">
        <f t="shared" si="6"/>
        <v>3136.57395</v>
      </c>
      <c r="V11" s="47">
        <f>SUM(G11-I11-J11-O11-P11-Q11-R11-S11)</f>
        <v>1132.4260499999998</v>
      </c>
      <c r="W11" s="77">
        <f t="shared" si="7"/>
        <v>40969.873</v>
      </c>
      <c r="X11" s="80">
        <v>1.5</v>
      </c>
      <c r="Y11" s="78">
        <f t="shared" si="8"/>
        <v>500.46645000000007</v>
      </c>
      <c r="Z11" s="78">
        <v>18</v>
      </c>
    </row>
    <row r="12" spans="1:26" s="79" customFormat="1" ht="26.45" customHeight="1">
      <c r="A12" s="32" t="s">
        <v>94</v>
      </c>
      <c r="B12" s="32" t="s">
        <v>12</v>
      </c>
      <c r="C12" s="32"/>
      <c r="D12" s="115">
        <v>51</v>
      </c>
      <c r="E12" s="32">
        <f t="shared" si="4"/>
        <v>2.5499999999999998</v>
      </c>
      <c r="F12" s="32">
        <f t="shared" si="5"/>
        <v>48.45</v>
      </c>
      <c r="G12" s="32">
        <v>2867</v>
      </c>
      <c r="H12" s="32">
        <f t="shared" si="0"/>
        <v>28.67</v>
      </c>
      <c r="I12" s="33">
        <f t="shared" si="1"/>
        <v>1389.0615000000003</v>
      </c>
      <c r="J12" s="32"/>
      <c r="K12" s="33">
        <v>33989.56</v>
      </c>
      <c r="L12" s="33">
        <f t="shared" si="2"/>
        <v>26145.815384615384</v>
      </c>
      <c r="M12" s="33">
        <f t="shared" si="3"/>
        <v>7843.744615384614</v>
      </c>
      <c r="N12" s="33"/>
      <c r="O12" s="32"/>
      <c r="P12" s="33">
        <f>SUM(K12*X12)/100</f>
        <v>679.7912</v>
      </c>
      <c r="Q12" s="32">
        <v>0</v>
      </c>
      <c r="R12" s="33"/>
      <c r="S12" s="32"/>
      <c r="T12" s="82">
        <f t="shared" si="10"/>
        <v>36058.412700000001</v>
      </c>
      <c r="U12" s="82">
        <f t="shared" si="6"/>
        <v>2068.8527000000004</v>
      </c>
      <c r="V12" s="47">
        <f t="shared" si="9"/>
        <v>798.14729999999975</v>
      </c>
      <c r="W12" s="77">
        <f t="shared" si="7"/>
        <v>36856.559999999998</v>
      </c>
      <c r="X12" s="78">
        <v>2</v>
      </c>
      <c r="Y12" s="78">
        <f t="shared" si="8"/>
        <v>679.7912</v>
      </c>
      <c r="Z12" s="78"/>
    </row>
    <row r="13" spans="1:26" s="79" customFormat="1" ht="26.45" customHeight="1">
      <c r="A13" s="32"/>
      <c r="B13" s="32"/>
      <c r="C13" s="32"/>
      <c r="D13" s="115"/>
      <c r="E13" s="32"/>
      <c r="F13" s="32"/>
      <c r="G13" s="32"/>
      <c r="H13" s="32"/>
      <c r="I13" s="33"/>
      <c r="J13" s="32"/>
      <c r="K13" s="32"/>
      <c r="L13" s="33"/>
      <c r="M13" s="33"/>
      <c r="N13" s="33"/>
      <c r="O13" s="32"/>
      <c r="P13" s="33"/>
      <c r="Q13" s="32"/>
      <c r="R13" s="33"/>
      <c r="S13" s="32"/>
      <c r="T13" s="82"/>
      <c r="U13" s="82"/>
      <c r="V13" s="47"/>
      <c r="W13" s="77"/>
      <c r="X13" s="78"/>
      <c r="Y13" s="78"/>
      <c r="Z13" s="78"/>
    </row>
    <row r="14" spans="1:26" s="79" customFormat="1" ht="26.45" customHeight="1">
      <c r="A14" s="32" t="s">
        <v>141</v>
      </c>
      <c r="B14" s="32" t="s">
        <v>73</v>
      </c>
      <c r="C14" s="32"/>
      <c r="D14" s="115">
        <v>15</v>
      </c>
      <c r="E14" s="32">
        <f t="shared" si="4"/>
        <v>0.75</v>
      </c>
      <c r="F14" s="32">
        <f t="shared" si="5"/>
        <v>14.25</v>
      </c>
      <c r="G14" s="32">
        <v>3240</v>
      </c>
      <c r="H14" s="32">
        <f t="shared" si="0"/>
        <v>32.4</v>
      </c>
      <c r="I14" s="33">
        <f t="shared" si="1"/>
        <v>461.7</v>
      </c>
      <c r="J14" s="32"/>
      <c r="K14" s="33">
        <v>31285.64</v>
      </c>
      <c r="L14" s="33">
        <f t="shared" si="2"/>
        <v>24065.876923076921</v>
      </c>
      <c r="M14" s="33">
        <f t="shared" si="3"/>
        <v>7219.7630769230782</v>
      </c>
      <c r="N14" s="33"/>
      <c r="O14" s="32"/>
      <c r="P14" s="33">
        <f>SUM(K14*X14)/100</f>
        <v>625.71280000000002</v>
      </c>
      <c r="Q14" s="32">
        <v>0</v>
      </c>
      <c r="R14" s="33"/>
      <c r="S14" s="32"/>
      <c r="T14" s="82">
        <f t="shared" si="10"/>
        <v>32373.052800000001</v>
      </c>
      <c r="U14" s="82">
        <f t="shared" si="6"/>
        <v>1087.4128000000001</v>
      </c>
      <c r="V14" s="47">
        <f t="shared" si="9"/>
        <v>2152.5871999999999</v>
      </c>
      <c r="W14" s="77">
        <f t="shared" si="7"/>
        <v>34525.64</v>
      </c>
      <c r="X14" s="78">
        <v>2</v>
      </c>
      <c r="Y14" s="78">
        <f t="shared" si="8"/>
        <v>625.71280000000002</v>
      </c>
      <c r="Z14" s="78"/>
    </row>
    <row r="15" spans="1:26" s="79" customFormat="1" ht="26.45" customHeight="1">
      <c r="A15" s="32" t="s">
        <v>142</v>
      </c>
      <c r="B15" s="32" t="s">
        <v>13</v>
      </c>
      <c r="C15" s="32"/>
      <c r="D15" s="115">
        <v>38</v>
      </c>
      <c r="E15" s="32">
        <f t="shared" si="4"/>
        <v>1.9</v>
      </c>
      <c r="F15" s="32">
        <f t="shared" si="5"/>
        <v>36.1</v>
      </c>
      <c r="G15" s="32">
        <v>4085</v>
      </c>
      <c r="H15" s="32">
        <f t="shared" si="0"/>
        <v>40.85</v>
      </c>
      <c r="I15" s="33">
        <f t="shared" si="1"/>
        <v>1474.6850000000002</v>
      </c>
      <c r="J15" s="32"/>
      <c r="K15" s="33">
        <v>31168.560000000001</v>
      </c>
      <c r="L15" s="33">
        <f t="shared" si="2"/>
        <v>23975.815384615384</v>
      </c>
      <c r="M15" s="33">
        <f t="shared" si="3"/>
        <v>7192.7446153846176</v>
      </c>
      <c r="N15" s="33"/>
      <c r="O15" s="32"/>
      <c r="P15" s="33">
        <f>SUM(K15*X15)/100</f>
        <v>623.37120000000004</v>
      </c>
      <c r="Q15" s="32">
        <v>0</v>
      </c>
      <c r="R15" s="33"/>
      <c r="S15" s="32"/>
      <c r="T15" s="82">
        <f t="shared" si="10"/>
        <v>33266.616200000004</v>
      </c>
      <c r="U15" s="82">
        <f t="shared" si="6"/>
        <v>2098.0562</v>
      </c>
      <c r="V15" s="47">
        <f t="shared" si="9"/>
        <v>1986.9437999999996</v>
      </c>
      <c r="W15" s="77">
        <f t="shared" si="7"/>
        <v>35253.56</v>
      </c>
      <c r="X15" s="78">
        <v>2</v>
      </c>
      <c r="Y15" s="78">
        <f t="shared" si="8"/>
        <v>623.37120000000004</v>
      </c>
      <c r="Z15" s="78"/>
    </row>
    <row r="16" spans="1:26" s="79" customFormat="1" ht="37.5" customHeight="1">
      <c r="A16" s="83" t="s">
        <v>143</v>
      </c>
      <c r="B16" s="32" t="s">
        <v>84</v>
      </c>
      <c r="C16" s="32"/>
      <c r="D16" s="115">
        <v>70</v>
      </c>
      <c r="E16" s="32">
        <f t="shared" si="4"/>
        <v>3.5</v>
      </c>
      <c r="F16" s="32">
        <f t="shared" si="5"/>
        <v>66.5</v>
      </c>
      <c r="G16" s="32">
        <v>30079</v>
      </c>
      <c r="H16" s="32">
        <f t="shared" si="0"/>
        <v>300.79000000000002</v>
      </c>
      <c r="I16" s="33">
        <f>SUM(H16*F16)</f>
        <v>20002.535</v>
      </c>
      <c r="J16" s="32"/>
      <c r="K16" s="33">
        <v>43770.64</v>
      </c>
      <c r="L16" s="33">
        <f t="shared" si="2"/>
        <v>33669.723076923074</v>
      </c>
      <c r="M16" s="33">
        <f t="shared" si="3"/>
        <v>10100.916923076926</v>
      </c>
      <c r="N16" s="33">
        <f>SUM(K16*10%)</f>
        <v>4377.0640000000003</v>
      </c>
      <c r="O16" s="32"/>
      <c r="P16" s="33">
        <f>SUM(K16*X16)/100</f>
        <v>0</v>
      </c>
      <c r="Q16" s="32">
        <v>0</v>
      </c>
      <c r="R16" s="33"/>
      <c r="S16" s="32">
        <f>SUM(K16*20%)</f>
        <v>8754.1280000000006</v>
      </c>
      <c r="T16" s="82">
        <f>SUM(I16+J16+K16+N16+O16+P16+Q16+R16+S16)</f>
        <v>76904.366999999998</v>
      </c>
      <c r="U16" s="82">
        <f t="shared" si="6"/>
        <v>28756.663</v>
      </c>
      <c r="V16" s="47">
        <f t="shared" si="9"/>
        <v>1322.3369999999995</v>
      </c>
      <c r="W16" s="77">
        <f t="shared" si="7"/>
        <v>78226.703999999998</v>
      </c>
      <c r="X16" s="78"/>
      <c r="Y16" s="78"/>
      <c r="Z16" s="78"/>
    </row>
    <row r="17" spans="1:26" s="81" customFormat="1" ht="26.45" customHeight="1">
      <c r="A17" s="32" t="s">
        <v>144</v>
      </c>
      <c r="B17" s="83" t="s">
        <v>100</v>
      </c>
      <c r="C17" s="32"/>
      <c r="D17" s="115">
        <v>54</v>
      </c>
      <c r="E17" s="32">
        <f t="shared" si="4"/>
        <v>2.7</v>
      </c>
      <c r="F17" s="32">
        <f t="shared" si="5"/>
        <v>51.3</v>
      </c>
      <c r="G17" s="32">
        <v>20344</v>
      </c>
      <c r="H17" s="32">
        <f t="shared" si="0"/>
        <v>203.44</v>
      </c>
      <c r="I17" s="33">
        <f t="shared" si="1"/>
        <v>10436.472</v>
      </c>
      <c r="J17" s="32"/>
      <c r="K17" s="33">
        <v>41964.88</v>
      </c>
      <c r="L17" s="33">
        <f t="shared" si="2"/>
        <v>32280.676923076921</v>
      </c>
      <c r="M17" s="33">
        <f t="shared" si="3"/>
        <v>9684.2030769230769</v>
      </c>
      <c r="N17" s="32"/>
      <c r="O17" s="32"/>
      <c r="P17" s="33">
        <f>SUM(K17*X17)/100</f>
        <v>0</v>
      </c>
      <c r="Q17" s="32">
        <v>0</v>
      </c>
      <c r="R17" s="32"/>
      <c r="S17" s="33">
        <f>SUM(K17*20%)</f>
        <v>8392.9760000000006</v>
      </c>
      <c r="T17" s="82">
        <f>SUM(I17+J17+K17+N17+O17+P17+Q17+R17+S17)</f>
        <v>60794.328000000001</v>
      </c>
      <c r="U17" s="82">
        <f t="shared" si="6"/>
        <v>18829.448</v>
      </c>
      <c r="V17" s="47">
        <f>SUM(G17-I17-J17-O17-P17-Q17-R17-S17)</f>
        <v>1514.5519999999997</v>
      </c>
      <c r="W17" s="77">
        <f t="shared" si="7"/>
        <v>62308.88</v>
      </c>
      <c r="X17" s="78"/>
      <c r="Y17" s="80"/>
      <c r="Z17" s="80"/>
    </row>
    <row r="18" spans="1:26" s="79" customFormat="1" ht="40.5" customHeight="1">
      <c r="A18" s="83" t="s">
        <v>145</v>
      </c>
      <c r="B18" s="32" t="s">
        <v>129</v>
      </c>
      <c r="C18" s="32"/>
      <c r="D18" s="115">
        <v>86</v>
      </c>
      <c r="E18" s="32">
        <f t="shared" si="4"/>
        <v>4.3</v>
      </c>
      <c r="F18" s="32">
        <f t="shared" si="5"/>
        <v>81.7</v>
      </c>
      <c r="G18" s="34">
        <v>32244</v>
      </c>
      <c r="H18" s="32">
        <f t="shared" si="0"/>
        <v>322.44</v>
      </c>
      <c r="I18" s="33">
        <f>SUM(H18*F18)</f>
        <v>26343.348000000002</v>
      </c>
      <c r="J18" s="32"/>
      <c r="K18" s="33">
        <v>42533.43</v>
      </c>
      <c r="L18" s="33">
        <f t="shared" si="2"/>
        <v>32718.023076923077</v>
      </c>
      <c r="M18" s="33">
        <f t="shared" si="3"/>
        <v>9815.4069230769237</v>
      </c>
      <c r="N18" s="32"/>
      <c r="O18" s="32"/>
      <c r="P18" s="33">
        <f>SUM(K18*X18)/100</f>
        <v>0</v>
      </c>
      <c r="Q18" s="32"/>
      <c r="R18" s="32"/>
      <c r="S18" s="33">
        <f>SUM(K18*20%)-2606.03</f>
        <v>5900.655999999999</v>
      </c>
      <c r="T18" s="82">
        <f>SUM(I18+J18+K18+N18+O18+P18+Q18+R18+S18)+0.01</f>
        <v>74777.444000000003</v>
      </c>
      <c r="U18" s="82">
        <f t="shared" si="6"/>
        <v>32244.004000000001</v>
      </c>
      <c r="V18" s="47">
        <f t="shared" si="9"/>
        <v>-4.0000000008149073E-3</v>
      </c>
      <c r="W18" s="77">
        <f t="shared" si="7"/>
        <v>74777.429999999993</v>
      </c>
      <c r="X18" s="78"/>
      <c r="Y18" s="78"/>
      <c r="Z18" s="78"/>
    </row>
    <row r="19" spans="1:26" s="79" customFormat="1" ht="26.45" customHeight="1">
      <c r="B19" s="81"/>
      <c r="C19" s="81"/>
      <c r="D19" s="11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6"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6"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6"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6"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6"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6"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6"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6"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6"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6"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6"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>
      <c r="B56" s="2"/>
      <c r="C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>
      <c r="B65" s="2"/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>
      <c r="B66" s="2"/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>
      <c r="B67" s="2"/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</sheetData>
  <mergeCells count="16">
    <mergeCell ref="W3:W4"/>
    <mergeCell ref="V3:V4"/>
    <mergeCell ref="U3:U4"/>
    <mergeCell ref="G3:G4"/>
    <mergeCell ref="H3:H4"/>
    <mergeCell ref="K3:M3"/>
    <mergeCell ref="N3:N4"/>
    <mergeCell ref="O3:O4"/>
    <mergeCell ref="Q3:Q4"/>
    <mergeCell ref="R3:R4"/>
    <mergeCell ref="S3:S4"/>
    <mergeCell ref="C3:C4"/>
    <mergeCell ref="D3:D4"/>
    <mergeCell ref="E3:E4"/>
    <mergeCell ref="F3:F4"/>
    <mergeCell ref="I3:I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AA22"/>
  <sheetViews>
    <sheetView view="pageBreakPreview" zoomScale="60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/>
  <cols>
    <col min="1" max="1" width="46.28515625" customWidth="1"/>
    <col min="2" max="2" width="22.85546875" customWidth="1"/>
    <col min="3" max="3" width="11.28515625" customWidth="1"/>
    <col min="4" max="5" width="8.85546875" customWidth="1"/>
    <col min="6" max="6" width="7.85546875" customWidth="1"/>
    <col min="7" max="7" width="10.85546875" style="89" customWidth="1"/>
    <col min="8" max="8" width="8.140625" customWidth="1"/>
    <col min="9" max="9" width="12" customWidth="1"/>
    <col min="10" max="12" width="7.42578125" customWidth="1"/>
    <col min="13" max="13" width="11" customWidth="1"/>
    <col min="14" max="14" width="16.85546875" customWidth="1"/>
    <col min="15" max="15" width="13.140625" customWidth="1"/>
    <col min="16" max="16" width="13.42578125" customWidth="1"/>
    <col min="17" max="17" width="16.28515625" customWidth="1"/>
    <col min="18" max="18" width="17.28515625" customWidth="1"/>
    <col min="19" max="19" width="12.140625" customWidth="1"/>
    <col min="20" max="20" width="18.5703125" customWidth="1"/>
    <col min="21" max="21" width="14.7109375" customWidth="1"/>
    <col min="22" max="22" width="14.7109375" style="89" customWidth="1"/>
    <col min="23" max="27" width="14.7109375" customWidth="1"/>
  </cols>
  <sheetData>
    <row r="2" spans="1:27" ht="55.5" customHeight="1" thickBot="1">
      <c r="A2" s="1" t="s">
        <v>140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19"/>
      <c r="W2" s="1"/>
    </row>
    <row r="3" spans="1:27" ht="15.75" hidden="1" customHeight="1" thickBot="1">
      <c r="A3" t="s">
        <v>2</v>
      </c>
    </row>
    <row r="4" spans="1:27" s="89" customFormat="1" ht="54" customHeight="1">
      <c r="A4" s="95" t="s">
        <v>0</v>
      </c>
      <c r="B4" s="95" t="s">
        <v>1</v>
      </c>
      <c r="C4" s="179" t="s">
        <v>97</v>
      </c>
      <c r="D4" s="179" t="s">
        <v>98</v>
      </c>
      <c r="E4" s="179" t="s">
        <v>120</v>
      </c>
      <c r="F4" s="181" t="s">
        <v>131</v>
      </c>
      <c r="G4" s="96" t="s">
        <v>5</v>
      </c>
      <c r="H4" s="86" t="s">
        <v>6</v>
      </c>
      <c r="I4" s="86" t="s">
        <v>7</v>
      </c>
      <c r="J4" s="86" t="s">
        <v>30</v>
      </c>
      <c r="K4" s="86" t="s">
        <v>41</v>
      </c>
      <c r="L4" s="86" t="s">
        <v>42</v>
      </c>
      <c r="M4" s="85" t="s">
        <v>46</v>
      </c>
      <c r="N4" s="191" t="s">
        <v>68</v>
      </c>
      <c r="O4" s="191"/>
      <c r="P4" s="191"/>
      <c r="Q4" s="191" t="s">
        <v>72</v>
      </c>
      <c r="R4" s="200" t="s">
        <v>34</v>
      </c>
      <c r="S4" s="194" t="s">
        <v>81</v>
      </c>
      <c r="T4" s="194" t="s">
        <v>82</v>
      </c>
      <c r="U4" s="87" t="s">
        <v>8</v>
      </c>
      <c r="V4" s="189" t="s">
        <v>95</v>
      </c>
      <c r="W4" s="187" t="s">
        <v>31</v>
      </c>
      <c r="X4" s="185" t="s">
        <v>101</v>
      </c>
      <c r="Y4" s="220" t="s">
        <v>135</v>
      </c>
      <c r="Z4" s="220" t="s">
        <v>136</v>
      </c>
      <c r="AA4" s="88"/>
    </row>
    <row r="5" spans="1:27" s="89" customFormat="1" ht="45" customHeight="1" thickBot="1">
      <c r="A5" s="97"/>
      <c r="B5" s="97"/>
      <c r="C5" s="202"/>
      <c r="D5" s="202"/>
      <c r="E5" s="202"/>
      <c r="F5" s="203"/>
      <c r="G5" s="98"/>
      <c r="H5" s="98"/>
      <c r="I5" s="98"/>
      <c r="J5" s="99"/>
      <c r="K5" s="99"/>
      <c r="L5" s="99"/>
      <c r="M5" s="99"/>
      <c r="N5" s="100" t="s">
        <v>69</v>
      </c>
      <c r="O5" s="100" t="s">
        <v>70</v>
      </c>
      <c r="P5" s="100" t="s">
        <v>71</v>
      </c>
      <c r="Q5" s="191"/>
      <c r="R5" s="201"/>
      <c r="S5" s="194"/>
      <c r="T5" s="194"/>
      <c r="U5" s="87"/>
      <c r="V5" s="190"/>
      <c r="W5" s="188"/>
      <c r="X5" s="186"/>
      <c r="Y5" s="221"/>
      <c r="Z5" s="221"/>
      <c r="AA5" s="88" t="s">
        <v>137</v>
      </c>
    </row>
    <row r="6" spans="1:27" s="113" customFormat="1" ht="46.9" customHeight="1">
      <c r="A6" s="101" t="s">
        <v>103</v>
      </c>
      <c r="B6" s="101" t="s">
        <v>122</v>
      </c>
      <c r="C6" s="102"/>
      <c r="D6" s="102">
        <v>66</v>
      </c>
      <c r="E6" s="102"/>
      <c r="F6" s="103">
        <f>SUM(D6-E6)</f>
        <v>66</v>
      </c>
      <c r="G6" s="101">
        <v>18645</v>
      </c>
      <c r="H6" s="102">
        <f>SUM(G6/100)</f>
        <v>186.45</v>
      </c>
      <c r="I6" s="104">
        <f>SUM(H6*F6)</f>
        <v>12305.699999999999</v>
      </c>
      <c r="J6" s="105"/>
      <c r="K6" s="105"/>
      <c r="L6" s="105"/>
      <c r="M6" s="106">
        <f>SUM(N6*Y6/100)</f>
        <v>830.88559999999995</v>
      </c>
      <c r="N6" s="106">
        <v>41544.28</v>
      </c>
      <c r="O6" s="107">
        <f>SUM(N6/1.3)</f>
        <v>31957.13846153846</v>
      </c>
      <c r="P6" s="107">
        <f>SUM(N6-O6)</f>
        <v>9587.1415384615393</v>
      </c>
      <c r="Q6" s="107"/>
      <c r="R6" s="108">
        <v>0</v>
      </c>
      <c r="S6" s="109"/>
      <c r="T6" s="109"/>
      <c r="U6" s="110">
        <f>SUM(I6+J6+K6+L6+M6+N6+Q6+R6+S6+T6)</f>
        <v>54680.865599999997</v>
      </c>
      <c r="V6" s="110">
        <f>SUM(I6+J6+K6+L6+M6+R6+S6+T6)</f>
        <v>13136.585599999999</v>
      </c>
      <c r="W6" s="111">
        <f>SUM(G6-I6-J6-K6-L6-M6-R6-S6-T6)</f>
        <v>5508.4144000000015</v>
      </c>
      <c r="X6" s="111">
        <f>SUM(G6+N6+Q6)</f>
        <v>60189.279999999999</v>
      </c>
      <c r="Y6" s="112">
        <v>2</v>
      </c>
      <c r="Z6" s="112">
        <f>SUM(N6*Y6/100)</f>
        <v>830.88559999999995</v>
      </c>
      <c r="AA6" s="112"/>
    </row>
    <row r="7" spans="1:27" s="113" customFormat="1" ht="46.9" customHeight="1">
      <c r="A7" s="101" t="s">
        <v>104</v>
      </c>
      <c r="B7" s="101" t="s">
        <v>123</v>
      </c>
      <c r="C7" s="102"/>
      <c r="D7" s="102">
        <v>48</v>
      </c>
      <c r="E7" s="102"/>
      <c r="F7" s="103">
        <f t="shared" ref="F7:F20" si="0">SUM(D7-E7)</f>
        <v>48</v>
      </c>
      <c r="G7" s="101">
        <v>11707</v>
      </c>
      <c r="H7" s="102">
        <f t="shared" ref="H7:H20" si="1">SUM(G7/100)</f>
        <v>117.07</v>
      </c>
      <c r="I7" s="104">
        <f t="shared" ref="I7:I20" si="2">SUM(H7*F7)</f>
        <v>5619.36</v>
      </c>
      <c r="J7" s="105"/>
      <c r="K7" s="105"/>
      <c r="L7" s="105">
        <v>800</v>
      </c>
      <c r="M7" s="106">
        <f>SUM(N7*Y7/100)</f>
        <v>534.88934999999992</v>
      </c>
      <c r="N7" s="106">
        <v>35659.29</v>
      </c>
      <c r="O7" s="107">
        <f t="shared" ref="O7:O20" si="3">SUM(N7/1.3)</f>
        <v>27430.223076923077</v>
      </c>
      <c r="P7" s="107">
        <f t="shared" ref="P7:P20" si="4">SUM(N7-O7)</f>
        <v>8229.0669230769236</v>
      </c>
      <c r="Q7" s="107"/>
      <c r="R7" s="108">
        <v>0</v>
      </c>
      <c r="S7" s="109"/>
      <c r="T7" s="109"/>
      <c r="U7" s="110">
        <f>SUM(I7+J7+K7+L7+M7+N7+Q7+R7+S7+T7)</f>
        <v>42613.539349999999</v>
      </c>
      <c r="V7" s="110">
        <f t="shared" ref="V7:V20" si="5">SUM(I7+J7+K7+L7+M7+R7+S7+T7)</f>
        <v>6954.24935</v>
      </c>
      <c r="W7" s="111">
        <f t="shared" ref="W7:W20" si="6">SUM(G7-I7-J7-K7-L7-M7-R7-S7-T7)</f>
        <v>4752.75065</v>
      </c>
      <c r="X7" s="111">
        <f t="shared" ref="X7:X20" si="7">SUM(G7+N7+Q7)</f>
        <v>47366.29</v>
      </c>
      <c r="Y7" s="112">
        <v>1.5</v>
      </c>
      <c r="Z7" s="112">
        <f t="shared" ref="Z7:Z13" si="8">SUM(N7*Y7/100)</f>
        <v>534.88934999999992</v>
      </c>
      <c r="AA7" s="112">
        <v>13</v>
      </c>
    </row>
    <row r="8" spans="1:27" s="113" customFormat="1" ht="46.9" customHeight="1">
      <c r="A8" s="101" t="s">
        <v>146</v>
      </c>
      <c r="B8" s="101" t="s">
        <v>118</v>
      </c>
      <c r="C8" s="102"/>
      <c r="D8" s="102">
        <v>61</v>
      </c>
      <c r="E8" s="102">
        <f>SUM(D8*5/100)</f>
        <v>3.05</v>
      </c>
      <c r="F8" s="103">
        <f t="shared" si="0"/>
        <v>57.95</v>
      </c>
      <c r="G8" s="101">
        <v>24675</v>
      </c>
      <c r="H8" s="102">
        <f t="shared" si="1"/>
        <v>246.75</v>
      </c>
      <c r="I8" s="104">
        <f t="shared" si="2"/>
        <v>14299.1625</v>
      </c>
      <c r="J8" s="105"/>
      <c r="K8" s="105">
        <v>500</v>
      </c>
      <c r="L8" s="105">
        <v>500</v>
      </c>
      <c r="M8" s="106">
        <f>SUM(N8*Y8/100)</f>
        <v>885.95360000000005</v>
      </c>
      <c r="N8" s="106">
        <v>44297.68</v>
      </c>
      <c r="O8" s="107">
        <f t="shared" si="3"/>
        <v>34075.13846153846</v>
      </c>
      <c r="P8" s="107">
        <f t="shared" si="4"/>
        <v>10222.541538461541</v>
      </c>
      <c r="Q8" s="107"/>
      <c r="R8" s="108">
        <v>0</v>
      </c>
      <c r="S8" s="109"/>
      <c r="T8" s="114">
        <f>SUM(N8*20%)-369.65</f>
        <v>8489.8860000000004</v>
      </c>
      <c r="U8" s="110">
        <f>SUM(I8+J8+K8+L8+M8+N8+Q8+R8+S8+T8)</f>
        <v>68972.682100000005</v>
      </c>
      <c r="V8" s="110">
        <f t="shared" si="5"/>
        <v>24675.002100000002</v>
      </c>
      <c r="W8" s="111">
        <f t="shared" si="6"/>
        <v>-2.1000000015192199E-3</v>
      </c>
      <c r="X8" s="111">
        <f t="shared" si="7"/>
        <v>68972.679999999993</v>
      </c>
      <c r="Y8" s="112">
        <v>2</v>
      </c>
      <c r="Z8" s="112">
        <f t="shared" si="8"/>
        <v>885.95360000000005</v>
      </c>
      <c r="AA8" s="112">
        <v>20</v>
      </c>
    </row>
    <row r="9" spans="1:27" s="113" customFormat="1" ht="46.9" customHeight="1">
      <c r="A9" s="101" t="s">
        <v>147</v>
      </c>
      <c r="B9" s="115" t="s">
        <v>79</v>
      </c>
      <c r="C9" s="102"/>
      <c r="D9" s="102">
        <v>64</v>
      </c>
      <c r="E9" s="102">
        <f>SUM(D9*5/100)</f>
        <v>3.2</v>
      </c>
      <c r="F9" s="103">
        <f t="shared" si="0"/>
        <v>60.8</v>
      </c>
      <c r="G9" s="101">
        <v>22038</v>
      </c>
      <c r="H9" s="102">
        <f t="shared" si="1"/>
        <v>220.38</v>
      </c>
      <c r="I9" s="104">
        <f t="shared" si="2"/>
        <v>13399.103999999999</v>
      </c>
      <c r="J9" s="105"/>
      <c r="K9" s="105">
        <f>800</f>
        <v>800</v>
      </c>
      <c r="L9" s="105"/>
      <c r="M9" s="106">
        <f>SUM(N9*Y9/100)</f>
        <v>570.59444999999994</v>
      </c>
      <c r="N9" s="106">
        <v>38039.629999999997</v>
      </c>
      <c r="O9" s="107">
        <f t="shared" si="3"/>
        <v>29261.253846153842</v>
      </c>
      <c r="P9" s="107">
        <f t="shared" si="4"/>
        <v>8778.3761538461549</v>
      </c>
      <c r="Q9" s="107"/>
      <c r="R9" s="108">
        <v>0</v>
      </c>
      <c r="S9" s="109">
        <f>SUM(N9*15%)</f>
        <v>5705.9444999999996</v>
      </c>
      <c r="T9" s="109"/>
      <c r="U9" s="110">
        <f>SUM(I9+J9+K9+L9+M9+N9+Q9+R9+S9+T9)-0.01</f>
        <v>58515.262949999997</v>
      </c>
      <c r="V9" s="110">
        <f t="shared" si="5"/>
        <v>20475.642950000001</v>
      </c>
      <c r="W9" s="111">
        <f t="shared" si="6"/>
        <v>1562.3570500000014</v>
      </c>
      <c r="X9" s="111">
        <f t="shared" si="7"/>
        <v>60077.63</v>
      </c>
      <c r="Y9" s="112">
        <v>1.5</v>
      </c>
      <c r="Z9" s="112">
        <f t="shared" si="8"/>
        <v>570.59444999999994</v>
      </c>
      <c r="AA9" s="112">
        <v>15</v>
      </c>
    </row>
    <row r="10" spans="1:27" s="113" customFormat="1" ht="46.9" customHeight="1">
      <c r="A10" s="101" t="s">
        <v>105</v>
      </c>
      <c r="B10" s="101" t="s">
        <v>27</v>
      </c>
      <c r="C10" s="102"/>
      <c r="D10" s="102">
        <v>64</v>
      </c>
      <c r="E10" s="102">
        <f>SUM(D10*5/100)</f>
        <v>3.2</v>
      </c>
      <c r="F10" s="103">
        <f t="shared" si="0"/>
        <v>60.8</v>
      </c>
      <c r="G10" s="101">
        <v>15167</v>
      </c>
      <c r="H10" s="102">
        <f t="shared" si="1"/>
        <v>151.66999999999999</v>
      </c>
      <c r="I10" s="104">
        <f t="shared" si="2"/>
        <v>9221.5359999999982</v>
      </c>
      <c r="J10" s="105"/>
      <c r="K10" s="105">
        <v>500</v>
      </c>
      <c r="L10" s="105"/>
      <c r="M10" s="106">
        <f>SUM(N10*Y10/100)</f>
        <v>728.12100000000009</v>
      </c>
      <c r="N10" s="106">
        <v>36406.050000000003</v>
      </c>
      <c r="O10" s="107">
        <f t="shared" si="3"/>
        <v>28004.653846153848</v>
      </c>
      <c r="P10" s="107">
        <f t="shared" si="4"/>
        <v>8401.3961538461554</v>
      </c>
      <c r="Q10" s="107">
        <f>SUM(N10*10%)</f>
        <v>3640.6050000000005</v>
      </c>
      <c r="R10" s="108">
        <v>0</v>
      </c>
      <c r="S10" s="109"/>
      <c r="T10" s="109"/>
      <c r="U10" s="110">
        <f>SUM(I10+J10+K10+L10+M10+N10+Q10+R10+S10+T10)+0.01</f>
        <v>50496.322000000007</v>
      </c>
      <c r="V10" s="110">
        <f t="shared" si="5"/>
        <v>10449.656999999999</v>
      </c>
      <c r="W10" s="111">
        <f t="shared" si="6"/>
        <v>4717.3430000000017</v>
      </c>
      <c r="X10" s="111">
        <f t="shared" si="7"/>
        <v>55213.655000000006</v>
      </c>
      <c r="Y10" s="112">
        <v>2</v>
      </c>
      <c r="Z10" s="112">
        <f t="shared" si="8"/>
        <v>728.12100000000009</v>
      </c>
      <c r="AA10" s="112"/>
    </row>
    <row r="11" spans="1:27" s="113" customFormat="1" ht="46.9" customHeight="1">
      <c r="A11" s="101" t="s">
        <v>106</v>
      </c>
      <c r="B11" s="101" t="s">
        <v>28</v>
      </c>
      <c r="C11" s="102"/>
      <c r="D11" s="102">
        <v>57</v>
      </c>
      <c r="E11" s="102"/>
      <c r="F11" s="103">
        <f t="shared" si="0"/>
        <v>57</v>
      </c>
      <c r="G11" s="101">
        <v>8429</v>
      </c>
      <c r="H11" s="102">
        <f t="shared" si="1"/>
        <v>84.29</v>
      </c>
      <c r="I11" s="104">
        <f t="shared" si="2"/>
        <v>4804.5300000000007</v>
      </c>
      <c r="J11" s="105"/>
      <c r="K11" s="105"/>
      <c r="L11" s="105"/>
      <c r="M11" s="106">
        <f>SUM(N11*Y11/100)</f>
        <v>665.74580000000003</v>
      </c>
      <c r="N11" s="106">
        <v>33287.29</v>
      </c>
      <c r="O11" s="107">
        <f t="shared" si="3"/>
        <v>25605.607692307691</v>
      </c>
      <c r="P11" s="107">
        <f t="shared" si="4"/>
        <v>7681.6823076923101</v>
      </c>
      <c r="Q11" s="107"/>
      <c r="R11" s="108">
        <v>0</v>
      </c>
      <c r="S11" s="109"/>
      <c r="T11" s="109"/>
      <c r="U11" s="110">
        <f>SUM(I11+J11+K11+L11+M11+N11+Q11+R11+S11+T11)</f>
        <v>38757.565800000004</v>
      </c>
      <c r="V11" s="110">
        <f t="shared" si="5"/>
        <v>5470.2758000000003</v>
      </c>
      <c r="W11" s="111">
        <f t="shared" si="6"/>
        <v>2958.7241999999992</v>
      </c>
      <c r="X11" s="111">
        <f t="shared" si="7"/>
        <v>41716.29</v>
      </c>
      <c r="Y11" s="112">
        <v>2</v>
      </c>
      <c r="Z11" s="112">
        <f t="shared" si="8"/>
        <v>665.74580000000003</v>
      </c>
      <c r="AA11" s="112">
        <v>31</v>
      </c>
    </row>
    <row r="12" spans="1:27" s="113" customFormat="1" ht="46.9" customHeight="1">
      <c r="A12" s="101" t="s">
        <v>107</v>
      </c>
      <c r="B12" s="101" t="s">
        <v>76</v>
      </c>
      <c r="C12" s="102"/>
      <c r="D12" s="102">
        <v>49</v>
      </c>
      <c r="E12" s="102">
        <f t="shared" ref="E12:E20" si="9">SUM(D12*5/100)</f>
        <v>2.4500000000000002</v>
      </c>
      <c r="F12" s="103">
        <f t="shared" si="0"/>
        <v>46.55</v>
      </c>
      <c r="G12" s="101">
        <v>13419</v>
      </c>
      <c r="H12" s="102">
        <f t="shared" si="1"/>
        <v>134.19</v>
      </c>
      <c r="I12" s="104">
        <f t="shared" si="2"/>
        <v>6246.5444999999991</v>
      </c>
      <c r="J12" s="105"/>
      <c r="K12" s="105">
        <v>500</v>
      </c>
      <c r="L12" s="105"/>
      <c r="M12" s="106">
        <f>SUM(N12*Y12/100)</f>
        <v>725.02719999999999</v>
      </c>
      <c r="N12" s="106">
        <v>36251.360000000001</v>
      </c>
      <c r="O12" s="107">
        <f t="shared" si="3"/>
        <v>27885.66153846154</v>
      </c>
      <c r="P12" s="107">
        <f t="shared" si="4"/>
        <v>8365.6984615384608</v>
      </c>
      <c r="Q12" s="107"/>
      <c r="R12" s="108">
        <v>0</v>
      </c>
      <c r="S12" s="109"/>
      <c r="T12" s="109"/>
      <c r="U12" s="110">
        <f>SUM(I12+J12+K12+L12+M12+N12+Q12+R12+S12+T12)</f>
        <v>43722.931700000001</v>
      </c>
      <c r="V12" s="110">
        <f t="shared" si="5"/>
        <v>7471.5716999999986</v>
      </c>
      <c r="W12" s="111">
        <f t="shared" si="6"/>
        <v>5947.4283000000014</v>
      </c>
      <c r="X12" s="111">
        <f t="shared" si="7"/>
        <v>49670.36</v>
      </c>
      <c r="Y12" s="112">
        <v>2</v>
      </c>
      <c r="Z12" s="112">
        <f t="shared" si="8"/>
        <v>725.02719999999999</v>
      </c>
      <c r="AA12" s="112">
        <v>23</v>
      </c>
    </row>
    <row r="13" spans="1:27" s="113" customFormat="1" ht="46.9" customHeight="1" thickBot="1">
      <c r="A13" s="115" t="s">
        <v>148</v>
      </c>
      <c r="B13" s="115" t="s">
        <v>127</v>
      </c>
      <c r="C13" s="115"/>
      <c r="D13" s="115">
        <v>66</v>
      </c>
      <c r="E13" s="102">
        <f t="shared" si="9"/>
        <v>3.3</v>
      </c>
      <c r="F13" s="103">
        <f t="shared" si="0"/>
        <v>62.7</v>
      </c>
      <c r="G13" s="115">
        <v>21628</v>
      </c>
      <c r="H13" s="102">
        <f t="shared" si="1"/>
        <v>216.28</v>
      </c>
      <c r="I13" s="104">
        <f t="shared" si="2"/>
        <v>13560.756000000001</v>
      </c>
      <c r="J13" s="115">
        <v>0</v>
      </c>
      <c r="K13" s="115">
        <v>800</v>
      </c>
      <c r="L13" s="115">
        <v>800</v>
      </c>
      <c r="M13" s="106">
        <f>SUM(N13*Y13/100)</f>
        <v>634.37220000000002</v>
      </c>
      <c r="N13" s="109">
        <v>31718.61</v>
      </c>
      <c r="O13" s="107">
        <f t="shared" si="3"/>
        <v>24398.93076923077</v>
      </c>
      <c r="P13" s="107">
        <f t="shared" si="4"/>
        <v>7319.6792307692303</v>
      </c>
      <c r="Q13" s="109"/>
      <c r="R13" s="116">
        <v>0</v>
      </c>
      <c r="S13" s="109">
        <f>SUM(N13*15%)</f>
        <v>4757.7915000000003</v>
      </c>
      <c r="T13" s="109"/>
      <c r="U13" s="110">
        <f>SUM(I13+J13+K13+L13+M13+N13+Q13+R13+S13+T13)</f>
        <v>52271.529699999999</v>
      </c>
      <c r="V13" s="110">
        <f>SUM(I13+J13+K13+L13+M13+R13+S13+T13)+0.01</f>
        <v>20552.929700000001</v>
      </c>
      <c r="W13" s="111">
        <f t="shared" si="6"/>
        <v>1075.0802999999987</v>
      </c>
      <c r="X13" s="111">
        <f t="shared" si="7"/>
        <v>53346.61</v>
      </c>
      <c r="Y13" s="112">
        <v>2</v>
      </c>
      <c r="Z13" s="112">
        <f t="shared" si="8"/>
        <v>634.37220000000002</v>
      </c>
      <c r="AA13" s="112"/>
    </row>
    <row r="14" spans="1:27" s="113" customFormat="1" ht="46.9" customHeight="1">
      <c r="A14" s="117" t="s">
        <v>108</v>
      </c>
      <c r="B14" s="102" t="s">
        <v>25</v>
      </c>
      <c r="C14" s="102"/>
      <c r="D14" s="118">
        <v>63</v>
      </c>
      <c r="E14" s="102">
        <f t="shared" si="9"/>
        <v>3.15</v>
      </c>
      <c r="F14" s="103">
        <f t="shared" si="0"/>
        <v>59.85</v>
      </c>
      <c r="G14" s="118">
        <v>47280</v>
      </c>
      <c r="H14" s="102">
        <f t="shared" si="1"/>
        <v>472.8</v>
      </c>
      <c r="I14" s="104">
        <f t="shared" si="2"/>
        <v>28297.08</v>
      </c>
      <c r="J14" s="119"/>
      <c r="K14" s="119">
        <v>500</v>
      </c>
      <c r="L14" s="119">
        <v>800</v>
      </c>
      <c r="M14" s="106">
        <f>SUM(N14*Y14/100)</f>
        <v>0</v>
      </c>
      <c r="N14" s="107">
        <v>46310.879999999997</v>
      </c>
      <c r="O14" s="107">
        <f t="shared" si="3"/>
        <v>35623.753846153842</v>
      </c>
      <c r="P14" s="107">
        <f t="shared" si="4"/>
        <v>10687.126153846155</v>
      </c>
      <c r="Q14" s="107">
        <f>SUM(N14*10%)</f>
        <v>4631.0879999999997</v>
      </c>
      <c r="R14" s="119">
        <v>0</v>
      </c>
      <c r="S14" s="120"/>
      <c r="T14" s="114">
        <f>SUM(N14*20%)</f>
        <v>9262.1759999999995</v>
      </c>
      <c r="U14" s="110">
        <f>SUM(I14+J14+K14+L14+M14+N14+Q14+R14+S14+T14)+0.01</f>
        <v>89801.233999999982</v>
      </c>
      <c r="V14" s="110">
        <f>SUM(I14+J14+K14+L14+M14+R14+S14+T14)+0.01</f>
        <v>38859.266000000003</v>
      </c>
      <c r="W14" s="111">
        <f t="shared" si="6"/>
        <v>8420.7439999999988</v>
      </c>
      <c r="X14" s="111">
        <f t="shared" si="7"/>
        <v>98221.968000000008</v>
      </c>
      <c r="Y14" s="112"/>
      <c r="Z14" s="112"/>
      <c r="AA14" s="112"/>
    </row>
    <row r="15" spans="1:27" s="113" customFormat="1" ht="46.9" customHeight="1">
      <c r="A15" s="102" t="s">
        <v>109</v>
      </c>
      <c r="B15" s="101" t="s">
        <v>77</v>
      </c>
      <c r="C15" s="102"/>
      <c r="D15" s="102">
        <v>73</v>
      </c>
      <c r="E15" s="102">
        <f t="shared" si="9"/>
        <v>3.65</v>
      </c>
      <c r="F15" s="103">
        <f t="shared" si="0"/>
        <v>69.349999999999994</v>
      </c>
      <c r="G15" s="101">
        <v>48289</v>
      </c>
      <c r="H15" s="102">
        <f t="shared" si="1"/>
        <v>482.89</v>
      </c>
      <c r="I15" s="104">
        <f t="shared" si="2"/>
        <v>33488.421499999997</v>
      </c>
      <c r="J15" s="105">
        <v>0</v>
      </c>
      <c r="K15" s="105">
        <v>500</v>
      </c>
      <c r="L15" s="105">
        <v>800</v>
      </c>
      <c r="M15" s="106">
        <f>SUM(N15*Y15/100)</f>
        <v>0</v>
      </c>
      <c r="N15" s="106">
        <v>51534.87</v>
      </c>
      <c r="O15" s="107">
        <f t="shared" si="3"/>
        <v>39642.207692307697</v>
      </c>
      <c r="P15" s="107">
        <f t="shared" si="4"/>
        <v>11892.662307692306</v>
      </c>
      <c r="Q15" s="107"/>
      <c r="R15" s="108">
        <v>0</v>
      </c>
      <c r="S15" s="109"/>
      <c r="T15" s="114">
        <f>SUM(N15*20%)</f>
        <v>10306.974000000002</v>
      </c>
      <c r="U15" s="110">
        <f>SUM(I15+J15+K15+L15+M15+N15+Q15+R15+S15+T15)-0.01</f>
        <v>96630.255499999999</v>
      </c>
      <c r="V15" s="110">
        <f t="shared" si="5"/>
        <v>45095.395499999999</v>
      </c>
      <c r="W15" s="111">
        <f t="shared" si="6"/>
        <v>3193.6045000000013</v>
      </c>
      <c r="X15" s="111">
        <f t="shared" si="7"/>
        <v>99823.87</v>
      </c>
      <c r="Y15" s="112"/>
      <c r="Z15" s="112"/>
      <c r="AA15" s="112"/>
    </row>
    <row r="16" spans="1:27" s="113" customFormat="1" ht="46.9" customHeight="1">
      <c r="A16" s="101" t="s">
        <v>110</v>
      </c>
      <c r="B16" s="101" t="s">
        <v>99</v>
      </c>
      <c r="C16" s="102"/>
      <c r="D16" s="102">
        <v>60</v>
      </c>
      <c r="E16" s="102">
        <f t="shared" si="9"/>
        <v>3</v>
      </c>
      <c r="F16" s="103">
        <f t="shared" si="0"/>
        <v>57</v>
      </c>
      <c r="G16" s="101">
        <v>22176</v>
      </c>
      <c r="H16" s="102">
        <f t="shared" si="1"/>
        <v>221.76</v>
      </c>
      <c r="I16" s="104">
        <f t="shared" si="2"/>
        <v>12640.32</v>
      </c>
      <c r="J16" s="105"/>
      <c r="K16" s="105">
        <v>500</v>
      </c>
      <c r="L16" s="105">
        <v>500</v>
      </c>
      <c r="M16" s="106">
        <f>SUM(N16*Y16/100)</f>
        <v>813.13380000000006</v>
      </c>
      <c r="N16" s="106">
        <v>40656.69</v>
      </c>
      <c r="O16" s="107">
        <f t="shared" si="3"/>
        <v>31274.376923076925</v>
      </c>
      <c r="P16" s="107">
        <f t="shared" si="4"/>
        <v>9382.3130769230775</v>
      </c>
      <c r="Q16" s="107"/>
      <c r="R16" s="108">
        <v>0</v>
      </c>
      <c r="S16" s="109">
        <f>SUM(N16*15%)</f>
        <v>6098.5034999999998</v>
      </c>
      <c r="T16" s="109"/>
      <c r="U16" s="110">
        <f>SUM(I16+J16+K16+L16+M16+N16+Q16+R16+S16+T16)-0.01</f>
        <v>61208.637300000002</v>
      </c>
      <c r="V16" s="110">
        <f t="shared" si="5"/>
        <v>20551.957299999998</v>
      </c>
      <c r="W16" s="111">
        <f t="shared" si="6"/>
        <v>1624.0427000000009</v>
      </c>
      <c r="X16" s="111">
        <f t="shared" si="7"/>
        <v>62832.69</v>
      </c>
      <c r="Y16" s="112">
        <v>2</v>
      </c>
      <c r="Z16" s="112">
        <f>SUM(N16*Y16/100)</f>
        <v>813.13380000000006</v>
      </c>
      <c r="AA16" s="112"/>
    </row>
    <row r="17" spans="1:27" s="113" customFormat="1" ht="46.9" customHeight="1">
      <c r="A17" s="115" t="s">
        <v>111</v>
      </c>
      <c r="B17" s="115" t="s">
        <v>116</v>
      </c>
      <c r="C17" s="102"/>
      <c r="D17" s="102">
        <v>58</v>
      </c>
      <c r="E17" s="102">
        <f t="shared" si="9"/>
        <v>2.9</v>
      </c>
      <c r="F17" s="103">
        <f t="shared" si="0"/>
        <v>55.1</v>
      </c>
      <c r="G17" s="101">
        <v>42264</v>
      </c>
      <c r="H17" s="102">
        <f t="shared" si="1"/>
        <v>422.64</v>
      </c>
      <c r="I17" s="104">
        <f t="shared" si="2"/>
        <v>23287.464</v>
      </c>
      <c r="J17" s="121"/>
      <c r="K17" s="105">
        <v>500</v>
      </c>
      <c r="L17" s="105">
        <f>800</f>
        <v>800</v>
      </c>
      <c r="M17" s="106">
        <f>SUM(N17*Y17/100)</f>
        <v>823.41499999999996</v>
      </c>
      <c r="N17" s="106">
        <v>41170.75</v>
      </c>
      <c r="O17" s="107">
        <f t="shared" si="3"/>
        <v>31669.807692307691</v>
      </c>
      <c r="P17" s="107">
        <f t="shared" si="4"/>
        <v>9500.9423076923085</v>
      </c>
      <c r="Q17" s="107"/>
      <c r="R17" s="108">
        <v>0</v>
      </c>
      <c r="S17" s="109">
        <f>SUM(N17*15%)</f>
        <v>6175.6125000000002</v>
      </c>
      <c r="T17" s="109"/>
      <c r="U17" s="110">
        <f>SUM(I17+J17+K17+L17+M17+N17+Q17+R17+S17+T17)</f>
        <v>72757.241500000004</v>
      </c>
      <c r="V17" s="110">
        <f>SUM(I17+J17+K17+L17+M17+R17+S17+T17)</f>
        <v>31586.4915</v>
      </c>
      <c r="W17" s="111">
        <f t="shared" si="6"/>
        <v>10677.5085</v>
      </c>
      <c r="X17" s="111">
        <f t="shared" si="7"/>
        <v>83434.75</v>
      </c>
      <c r="Y17" s="112">
        <v>2</v>
      </c>
      <c r="Z17" s="112">
        <f>SUM(N17*Y17/100)</f>
        <v>823.41499999999996</v>
      </c>
      <c r="AA17" s="112">
        <v>25</v>
      </c>
    </row>
    <row r="18" spans="1:27" s="113" customFormat="1" ht="46.9" customHeight="1">
      <c r="A18" s="101" t="s">
        <v>112</v>
      </c>
      <c r="B18" s="101" t="s">
        <v>26</v>
      </c>
      <c r="C18" s="102"/>
      <c r="D18" s="102">
        <f>76-6</f>
        <v>70</v>
      </c>
      <c r="E18" s="102">
        <f t="shared" si="9"/>
        <v>3.5</v>
      </c>
      <c r="F18" s="103">
        <f t="shared" si="0"/>
        <v>66.5</v>
      </c>
      <c r="G18" s="101">
        <v>25841</v>
      </c>
      <c r="H18" s="102">
        <f t="shared" si="1"/>
        <v>258.41000000000003</v>
      </c>
      <c r="I18" s="104">
        <f t="shared" si="2"/>
        <v>17184.265000000003</v>
      </c>
      <c r="J18" s="105"/>
      <c r="K18" s="105">
        <v>800</v>
      </c>
      <c r="L18" s="105">
        <v>800</v>
      </c>
      <c r="M18" s="106">
        <f>SUM(N18*Y18/100)</f>
        <v>600.67830000000004</v>
      </c>
      <c r="N18" s="106">
        <v>40045.22</v>
      </c>
      <c r="O18" s="107">
        <f t="shared" si="3"/>
        <v>30804.015384615384</v>
      </c>
      <c r="P18" s="107">
        <f t="shared" si="4"/>
        <v>9241.2046153846168</v>
      </c>
      <c r="Q18" s="107"/>
      <c r="R18" s="108">
        <v>0</v>
      </c>
      <c r="S18" s="109">
        <f>SUM(N18*15%)</f>
        <v>6006.7830000000004</v>
      </c>
      <c r="T18" s="109"/>
      <c r="U18" s="110">
        <f>SUM(I18+J18+K18+L18+M18+N18+Q18+R18+S18+T18)</f>
        <v>65436.946300000003</v>
      </c>
      <c r="V18" s="110">
        <f t="shared" si="5"/>
        <v>25391.726300000002</v>
      </c>
      <c r="W18" s="111">
        <f t="shared" si="6"/>
        <v>449.27369999999701</v>
      </c>
      <c r="X18" s="111">
        <f t="shared" si="7"/>
        <v>65886.22</v>
      </c>
      <c r="Y18" s="112">
        <v>1.5</v>
      </c>
      <c r="Z18" s="112">
        <f>SUM(N18*Y18/100)</f>
        <v>600.67830000000004</v>
      </c>
      <c r="AA18" s="112">
        <v>18</v>
      </c>
    </row>
    <row r="19" spans="1:27" s="113" customFormat="1" ht="46.9" customHeight="1">
      <c r="A19" s="101" t="s">
        <v>113</v>
      </c>
      <c r="B19" s="101" t="s">
        <v>83</v>
      </c>
      <c r="C19" s="102"/>
      <c r="D19" s="102">
        <v>60</v>
      </c>
      <c r="E19" s="102">
        <f t="shared" si="9"/>
        <v>3</v>
      </c>
      <c r="F19" s="103">
        <f t="shared" si="0"/>
        <v>57</v>
      </c>
      <c r="G19" s="101">
        <v>32285</v>
      </c>
      <c r="H19" s="102">
        <f t="shared" si="1"/>
        <v>322.85000000000002</v>
      </c>
      <c r="I19" s="104">
        <f t="shared" si="2"/>
        <v>18402.45</v>
      </c>
      <c r="J19" s="121"/>
      <c r="K19" s="105">
        <f>500-500</f>
        <v>0</v>
      </c>
      <c r="L19" s="105">
        <v>800</v>
      </c>
      <c r="M19" s="106">
        <f>SUM(N19*Y19/100)</f>
        <v>802.01</v>
      </c>
      <c r="N19" s="106">
        <v>40100.5</v>
      </c>
      <c r="O19" s="107">
        <f t="shared" si="3"/>
        <v>30846.538461538461</v>
      </c>
      <c r="P19" s="107">
        <f t="shared" si="4"/>
        <v>9253.961538461539</v>
      </c>
      <c r="Q19" s="107">
        <f>SUM(N19*10%)</f>
        <v>4010.05</v>
      </c>
      <c r="R19" s="108">
        <v>0</v>
      </c>
      <c r="S19" s="109">
        <f>SUM(N19*15%)</f>
        <v>6015.0749999999998</v>
      </c>
      <c r="T19" s="109"/>
      <c r="U19" s="110">
        <f>SUM(I19+J19+K19+L19+M19+N19+Q19+R19+S19+T19)</f>
        <v>70130.085000000006</v>
      </c>
      <c r="V19" s="110">
        <f>SUM(I19+J19+K19+L19+M19+R19+S19+T19)-0.01</f>
        <v>26019.525000000001</v>
      </c>
      <c r="W19" s="111">
        <f t="shared" si="6"/>
        <v>6265.4649999999992</v>
      </c>
      <c r="X19" s="111">
        <f t="shared" si="7"/>
        <v>76395.55</v>
      </c>
      <c r="Y19" s="112">
        <v>2</v>
      </c>
      <c r="Z19" s="112">
        <f>SUM(N19*Y19/100)</f>
        <v>802.01</v>
      </c>
      <c r="AA19" s="112"/>
    </row>
    <row r="20" spans="1:27" s="113" customFormat="1" ht="46.9" customHeight="1">
      <c r="A20" s="101" t="s">
        <v>114</v>
      </c>
      <c r="B20" s="101" t="s">
        <v>119</v>
      </c>
      <c r="C20" s="102"/>
      <c r="D20" s="102">
        <v>53</v>
      </c>
      <c r="E20" s="102">
        <f t="shared" si="9"/>
        <v>2.65</v>
      </c>
      <c r="F20" s="103">
        <f t="shared" si="0"/>
        <v>50.35</v>
      </c>
      <c r="G20" s="101">
        <v>33537</v>
      </c>
      <c r="H20" s="102">
        <f t="shared" si="1"/>
        <v>335.37</v>
      </c>
      <c r="I20" s="104">
        <f t="shared" si="2"/>
        <v>16885.879499999999</v>
      </c>
      <c r="J20" s="105"/>
      <c r="K20" s="105">
        <v>800</v>
      </c>
      <c r="L20" s="105">
        <f>800</f>
        <v>800</v>
      </c>
      <c r="M20" s="106">
        <f>SUM(N20*Y20/100)</f>
        <v>736.40779999999995</v>
      </c>
      <c r="N20" s="106">
        <v>36820.39</v>
      </c>
      <c r="O20" s="107">
        <f t="shared" si="3"/>
        <v>28323.376923076921</v>
      </c>
      <c r="P20" s="107">
        <f t="shared" si="4"/>
        <v>8497.0130769230782</v>
      </c>
      <c r="Q20" s="107"/>
      <c r="R20" s="108">
        <v>0</v>
      </c>
      <c r="S20" s="109"/>
      <c r="T20" s="114">
        <f>SUM(N20*20%)</f>
        <v>7364.0780000000004</v>
      </c>
      <c r="U20" s="110">
        <f>SUM(I20+J20+K20+L20+M20+N20+Q20+R20+S20+T20)</f>
        <v>63406.755299999997</v>
      </c>
      <c r="V20" s="110">
        <f t="shared" si="5"/>
        <v>26586.365300000001</v>
      </c>
      <c r="W20" s="111">
        <f t="shared" si="6"/>
        <v>6950.6346999999996</v>
      </c>
      <c r="X20" s="111">
        <f t="shared" si="7"/>
        <v>70357.39</v>
      </c>
      <c r="Y20" s="112">
        <v>2</v>
      </c>
      <c r="Z20" s="112">
        <f>SUM(N20*Y20/100)</f>
        <v>736.40779999999995</v>
      </c>
      <c r="AA20" s="112">
        <v>45</v>
      </c>
    </row>
    <row r="21" spans="1:27" s="89" customFormat="1" ht="19.149999999999999" customHeight="1"/>
    <row r="22" spans="1:27" s="89" customFormat="1" ht="19.149999999999999" customHeight="1"/>
  </sheetData>
  <mergeCells count="14">
    <mergeCell ref="C4:C5"/>
    <mergeCell ref="D4:D5"/>
    <mergeCell ref="E4:E5"/>
    <mergeCell ref="F4:F5"/>
    <mergeCell ref="Z4:Z5"/>
    <mergeCell ref="W4:W5"/>
    <mergeCell ref="X4:X5"/>
    <mergeCell ref="N4:P4"/>
    <mergeCell ref="Q4:Q5"/>
    <mergeCell ref="R4:R5"/>
    <mergeCell ref="S4:S5"/>
    <mergeCell ref="T4:T5"/>
    <mergeCell ref="V4:V5"/>
    <mergeCell ref="Y4:Y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7"/>
  <sheetViews>
    <sheetView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RowHeight="15"/>
  <cols>
    <col min="1" max="1" width="32.28515625" customWidth="1"/>
    <col min="2" max="2" width="15.85546875" customWidth="1"/>
    <col min="3" max="3" width="9.5703125" bestFit="1" customWidth="1"/>
    <col min="4" max="4" width="13" customWidth="1"/>
    <col min="5" max="5" width="9.5703125" bestFit="1" customWidth="1"/>
    <col min="6" max="6" width="12.42578125" customWidth="1"/>
    <col min="7" max="7" width="7.140625" customWidth="1"/>
    <col min="8" max="8" width="11.28515625" customWidth="1"/>
    <col min="9" max="9" width="11.42578125" customWidth="1"/>
    <col min="10" max="10" width="11" customWidth="1"/>
    <col min="11" max="11" width="10.7109375" customWidth="1"/>
    <col min="12" max="12" width="9.28515625" customWidth="1"/>
    <col min="13" max="13" width="17.28515625" customWidth="1"/>
    <col min="14" max="14" width="13.85546875" customWidth="1"/>
    <col min="15" max="15" width="14.140625" customWidth="1"/>
    <col min="16" max="17" width="12.140625" customWidth="1"/>
    <col min="18" max="19" width="8.85546875" customWidth="1"/>
  </cols>
  <sheetData>
    <row r="1" spans="1:19" ht="18.75" customHeight="1">
      <c r="A1" s="1" t="s">
        <v>140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15.75" customHeight="1" thickBot="1"/>
    <row r="3" spans="1:19" s="89" customFormat="1" ht="81" customHeight="1">
      <c r="A3" s="95" t="s">
        <v>0</v>
      </c>
      <c r="B3" s="95" t="s">
        <v>1</v>
      </c>
      <c r="C3" s="122" t="s">
        <v>4</v>
      </c>
      <c r="D3" s="96" t="s">
        <v>5</v>
      </c>
      <c r="E3" s="86" t="s">
        <v>6</v>
      </c>
      <c r="F3" s="86" t="s">
        <v>7</v>
      </c>
      <c r="G3" s="86" t="s">
        <v>30</v>
      </c>
      <c r="H3" s="86" t="s">
        <v>46</v>
      </c>
      <c r="I3" s="191" t="s">
        <v>68</v>
      </c>
      <c r="J3" s="191"/>
      <c r="K3" s="191"/>
      <c r="L3" s="191" t="s">
        <v>72</v>
      </c>
      <c r="M3" s="194" t="s">
        <v>81</v>
      </c>
      <c r="N3" s="123" t="s">
        <v>8</v>
      </c>
      <c r="O3" s="189" t="s">
        <v>74</v>
      </c>
      <c r="P3" s="187" t="s">
        <v>32</v>
      </c>
      <c r="Q3" s="199" t="s">
        <v>101</v>
      </c>
      <c r="R3" s="198" t="s">
        <v>135</v>
      </c>
      <c r="S3" s="198" t="s">
        <v>136</v>
      </c>
    </row>
    <row r="4" spans="1:19" s="89" customFormat="1" ht="39.75" customHeight="1" thickBot="1">
      <c r="A4" s="97"/>
      <c r="B4" s="97"/>
      <c r="C4" s="98"/>
      <c r="D4" s="98"/>
      <c r="E4" s="98"/>
      <c r="F4" s="98"/>
      <c r="G4" s="99"/>
      <c r="H4" s="99"/>
      <c r="I4" s="100" t="s">
        <v>69</v>
      </c>
      <c r="J4" s="100" t="s">
        <v>70</v>
      </c>
      <c r="K4" s="100" t="s">
        <v>71</v>
      </c>
      <c r="L4" s="191"/>
      <c r="M4" s="194"/>
      <c r="N4" s="124"/>
      <c r="O4" s="190"/>
      <c r="P4" s="188"/>
      <c r="Q4" s="199"/>
      <c r="R4" s="198"/>
      <c r="S4" s="198"/>
    </row>
    <row r="5" spans="1:19" s="89" customFormat="1" ht="37.15" customHeight="1">
      <c r="A5" s="125" t="s">
        <v>149</v>
      </c>
      <c r="B5" s="126" t="s">
        <v>117</v>
      </c>
      <c r="C5" s="127">
        <v>67</v>
      </c>
      <c r="D5" s="128">
        <v>9914</v>
      </c>
      <c r="E5" s="129">
        <f>SUM(D5/100)</f>
        <v>99.14</v>
      </c>
      <c r="F5" s="130">
        <f>SUM(C5*E5)</f>
        <v>6642.38</v>
      </c>
      <c r="G5" s="131"/>
      <c r="H5" s="131">
        <v>0</v>
      </c>
      <c r="I5" s="132">
        <v>43488.43</v>
      </c>
      <c r="J5" s="133">
        <f>SUM(I5/1.3)</f>
        <v>33452.63846153846</v>
      </c>
      <c r="K5" s="133">
        <f>SUM(I5-J5)</f>
        <v>10035.791538461541</v>
      </c>
      <c r="L5" s="134"/>
      <c r="M5" s="134"/>
      <c r="N5" s="135">
        <f>SUM(F5+G5+H5+I5+L5+M5)</f>
        <v>50130.81</v>
      </c>
      <c r="O5" s="136">
        <f>SUM(F5+G5+H5+M5)</f>
        <v>6642.38</v>
      </c>
      <c r="P5" s="137">
        <f>SUM(D5-F5-G5-H5)</f>
        <v>3271.62</v>
      </c>
      <c r="Q5" s="138">
        <f>SUM(D5+I5)</f>
        <v>53402.43</v>
      </c>
      <c r="R5" s="137"/>
      <c r="S5" s="137"/>
    </row>
    <row r="6" spans="1:19" s="89" customFormat="1" ht="37.15" customHeight="1">
      <c r="A6" s="139" t="s">
        <v>150</v>
      </c>
      <c r="B6" s="137" t="s">
        <v>80</v>
      </c>
      <c r="C6" s="127">
        <v>71</v>
      </c>
      <c r="D6" s="128">
        <v>14427</v>
      </c>
      <c r="E6" s="129">
        <f>SUM(D6/100)</f>
        <v>144.27000000000001</v>
      </c>
      <c r="F6" s="130">
        <f>SUM(C6*E6)</f>
        <v>10243.17</v>
      </c>
      <c r="G6" s="131"/>
      <c r="H6" s="131">
        <f>879.84</f>
        <v>879.84</v>
      </c>
      <c r="I6" s="132">
        <v>43992.34</v>
      </c>
      <c r="J6" s="133">
        <f>SUM(I6/1.3)</f>
        <v>33840.261538461535</v>
      </c>
      <c r="K6" s="133">
        <f>SUM(I6-J6)</f>
        <v>10152.078461538462</v>
      </c>
      <c r="L6" s="134"/>
      <c r="M6" s="133">
        <f>SUM(I6*15%)-3294.86</f>
        <v>3303.9909999999995</v>
      </c>
      <c r="N6" s="135">
        <f>SUM(F6+G6+H6+I6+L6+M6)</f>
        <v>58419.341</v>
      </c>
      <c r="O6" s="136">
        <f>SUM(F6+G6+H6+M6)</f>
        <v>14427.001</v>
      </c>
      <c r="P6" s="138">
        <f>SUM(D6-F6-G6-H6-M6)</f>
        <v>-9.9999999974897946E-4</v>
      </c>
      <c r="Q6" s="138">
        <f>SUM(D6+I6)</f>
        <v>58419.34</v>
      </c>
      <c r="R6" s="137">
        <v>2</v>
      </c>
      <c r="S6" s="137">
        <f>SUM(I6*R6)/100</f>
        <v>879.84679999999992</v>
      </c>
    </row>
    <row r="7" spans="1:19">
      <c r="C7" s="2"/>
    </row>
  </sheetData>
  <mergeCells count="8">
    <mergeCell ref="R3:R4"/>
    <mergeCell ref="S3:S4"/>
    <mergeCell ref="I3:K3"/>
    <mergeCell ref="L3:L4"/>
    <mergeCell ref="M3:M4"/>
    <mergeCell ref="O3:O4"/>
    <mergeCell ref="P3:P4"/>
    <mergeCell ref="Q3:Q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8.85546875" customWidth="1"/>
    <col min="3" max="3" width="9.85546875" hidden="1" customWidth="1"/>
    <col min="4" max="6" width="0" hidden="1" customWidth="1"/>
    <col min="7" max="7" width="4.28515625" hidden="1" customWidth="1"/>
    <col min="8" max="8" width="10.14062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9.5703125" customWidth="1"/>
    <col min="16" max="16" width="10.42578125" customWidth="1"/>
    <col min="17" max="17" width="10.5703125" customWidth="1"/>
    <col min="18" max="18" width="7.5703125" customWidth="1"/>
    <col min="19" max="19" width="11.5703125" customWidth="1"/>
    <col min="20" max="20" width="10.28515625" customWidth="1"/>
    <col min="21" max="21" width="13.85546875" customWidth="1"/>
    <col min="22" max="22" width="13.140625" customWidth="1"/>
    <col min="23" max="23" width="14.28515625" customWidth="1"/>
    <col min="24" max="24" width="12.7109375" customWidth="1"/>
    <col min="25" max="25" width="13.7109375" customWidth="1"/>
    <col min="26" max="26" width="13.85546875" customWidth="1"/>
  </cols>
  <sheetData>
    <row r="1" spans="1:26" ht="49.9" customHeight="1">
      <c r="A1" s="1" t="s">
        <v>140</v>
      </c>
      <c r="B1" s="1"/>
      <c r="C1" s="1"/>
      <c r="D1" s="1"/>
      <c r="E1" s="1"/>
      <c r="R1" s="1"/>
      <c r="S1" s="1"/>
      <c r="T1" s="1"/>
      <c r="U1" s="1"/>
      <c r="V1" s="1"/>
    </row>
    <row r="2" spans="1:26" ht="47.25" customHeight="1" thickBot="1"/>
    <row r="3" spans="1:26" s="89" customFormat="1" ht="87" customHeight="1" thickBot="1">
      <c r="A3" s="95" t="s">
        <v>0</v>
      </c>
      <c r="B3" s="95" t="s">
        <v>1</v>
      </c>
      <c r="C3" s="140" t="s">
        <v>14</v>
      </c>
      <c r="D3" s="140" t="s">
        <v>15</v>
      </c>
      <c r="E3" s="141"/>
      <c r="F3" s="142" t="s">
        <v>18</v>
      </c>
      <c r="G3" s="143"/>
      <c r="H3" s="122" t="s">
        <v>4</v>
      </c>
      <c r="I3" s="96" t="s">
        <v>5</v>
      </c>
      <c r="J3" s="86" t="s">
        <v>6</v>
      </c>
      <c r="K3" s="86" t="s">
        <v>7</v>
      </c>
      <c r="L3" s="86" t="s">
        <v>39</v>
      </c>
      <c r="M3" s="86" t="s">
        <v>44</v>
      </c>
      <c r="N3" s="86" t="s">
        <v>46</v>
      </c>
      <c r="O3" s="191" t="s">
        <v>68</v>
      </c>
      <c r="P3" s="191"/>
      <c r="Q3" s="191"/>
      <c r="R3" s="191" t="s">
        <v>72</v>
      </c>
      <c r="S3" s="183" t="s">
        <v>81</v>
      </c>
      <c r="T3" s="123" t="s">
        <v>8</v>
      </c>
      <c r="U3" s="189" t="s">
        <v>96</v>
      </c>
      <c r="V3" s="100" t="s">
        <v>33</v>
      </c>
      <c r="W3" s="185" t="s">
        <v>101</v>
      </c>
      <c r="Y3" s="198" t="s">
        <v>135</v>
      </c>
      <c r="Z3" s="198" t="s">
        <v>136</v>
      </c>
    </row>
    <row r="4" spans="1:26" s="89" customFormat="1" ht="41.25" customHeight="1" thickBot="1">
      <c r="A4" s="97"/>
      <c r="B4" s="97"/>
      <c r="C4" s="143" t="s">
        <v>3</v>
      </c>
      <c r="D4" s="144" t="s">
        <v>16</v>
      </c>
      <c r="E4" s="141" t="s">
        <v>17</v>
      </c>
      <c r="F4" s="144" t="s">
        <v>19</v>
      </c>
      <c r="G4" s="144" t="s">
        <v>20</v>
      </c>
      <c r="H4" s="98"/>
      <c r="I4" s="98"/>
      <c r="J4" s="98"/>
      <c r="K4" s="98"/>
      <c r="L4" s="98"/>
      <c r="M4" s="99"/>
      <c r="N4" s="99"/>
      <c r="O4" s="100" t="s">
        <v>69</v>
      </c>
      <c r="P4" s="100" t="s">
        <v>70</v>
      </c>
      <c r="Q4" s="100" t="s">
        <v>71</v>
      </c>
      <c r="R4" s="191"/>
      <c r="S4" s="204"/>
      <c r="T4" s="124"/>
      <c r="U4" s="190"/>
      <c r="V4" s="88"/>
      <c r="W4" s="186"/>
      <c r="Y4" s="198"/>
      <c r="Z4" s="198"/>
    </row>
    <row r="5" spans="1:26" s="68" customFormat="1" ht="45" customHeight="1">
      <c r="A5" s="58" t="s">
        <v>151</v>
      </c>
      <c r="B5" s="59" t="s">
        <v>67</v>
      </c>
      <c r="C5" s="60">
        <v>8</v>
      </c>
      <c r="D5" s="59">
        <v>0</v>
      </c>
      <c r="E5" s="61">
        <v>0</v>
      </c>
      <c r="F5" s="59">
        <v>0</v>
      </c>
      <c r="G5" s="59">
        <v>0</v>
      </c>
      <c r="H5" s="62">
        <v>57</v>
      </c>
      <c r="I5" s="59">
        <v>35708</v>
      </c>
      <c r="J5" s="59">
        <f>SUM(I5/100)</f>
        <v>357.08</v>
      </c>
      <c r="K5" s="63">
        <f>SUM(H5*J5)</f>
        <v>20353.559999999998</v>
      </c>
      <c r="L5" s="63">
        <v>0</v>
      </c>
      <c r="M5" s="64">
        <v>0</v>
      </c>
      <c r="N5" s="64">
        <v>962.79</v>
      </c>
      <c r="O5" s="64">
        <v>48139.54</v>
      </c>
      <c r="P5" s="64">
        <f>SUM(O5/1.3)</f>
        <v>37030.415384615386</v>
      </c>
      <c r="Q5" s="64">
        <f>SUM(O5-P5)</f>
        <v>11109.124615384615</v>
      </c>
      <c r="R5" s="64"/>
      <c r="S5" s="64">
        <f>SUM(O5*15%)</f>
        <v>7220.9309999999996</v>
      </c>
      <c r="T5" s="65">
        <f>SUM(K5+L5+M5+N5+O5+R5+S5)</f>
        <v>76676.820999999996</v>
      </c>
      <c r="U5" s="66">
        <f>SUM(K5+L5+M5+N5+S5)</f>
        <v>28537.280999999999</v>
      </c>
      <c r="V5" s="67">
        <f>SUM(I5-K5-L5-M5-N5-S5)</f>
        <v>7170.7190000000019</v>
      </c>
      <c r="W5" s="50">
        <f>SUM(I5+O5)</f>
        <v>83847.540000000008</v>
      </c>
      <c r="X5" s="68">
        <f>SUM(O5*15%)</f>
        <v>7220.9309999999996</v>
      </c>
      <c r="Y5" s="69">
        <v>2</v>
      </c>
      <c r="Z5" s="69">
        <f>SUM(O5*Y5/100)</f>
        <v>962.79079999999999</v>
      </c>
    </row>
    <row r="8" spans="1:26">
      <c r="R8" t="s">
        <v>43</v>
      </c>
    </row>
    <row r="10" spans="1:26">
      <c r="H10" s="49"/>
    </row>
  </sheetData>
  <mergeCells count="7">
    <mergeCell ref="Z3:Z4"/>
    <mergeCell ref="O3:Q3"/>
    <mergeCell ref="R3:R4"/>
    <mergeCell ref="U3:U4"/>
    <mergeCell ref="S3:S4"/>
    <mergeCell ref="W3:W4"/>
    <mergeCell ref="Y3:Y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00" zoomScaleSheetLayoutView="100" workbookViewId="0">
      <selection activeCell="H1" sqref="H1"/>
    </sheetView>
  </sheetViews>
  <sheetFormatPr defaultRowHeight="15"/>
  <cols>
    <col min="1" max="1" width="26.140625" customWidth="1"/>
    <col min="2" max="2" width="16.28515625" customWidth="1"/>
    <col min="3" max="4" width="7.7109375" customWidth="1"/>
    <col min="5" max="5" width="9.42578125" bestFit="1" customWidth="1"/>
    <col min="6" max="6" width="10.42578125" customWidth="1"/>
    <col min="7" max="7" width="6.7109375" customWidth="1"/>
    <col min="8" max="8" width="11" customWidth="1"/>
    <col min="9" max="9" width="10.28515625" customWidth="1"/>
    <col min="10" max="10" width="9.140625" customWidth="1"/>
    <col min="11" max="11" width="7.85546875" customWidth="1"/>
    <col min="12" max="12" width="8.7109375" customWidth="1"/>
    <col min="13" max="13" width="9.140625" customWidth="1"/>
    <col min="14" max="14" width="8.28515625" customWidth="1"/>
    <col min="15" max="15" width="11" customWidth="1"/>
    <col min="16" max="16" width="12.5703125" customWidth="1"/>
    <col min="17" max="17" width="8.140625" customWidth="1"/>
    <col min="18" max="18" width="9.28515625" customWidth="1"/>
    <col min="19" max="19" width="7.28515625" customWidth="1"/>
    <col min="20" max="20" width="9.28515625" customWidth="1"/>
    <col min="21" max="21" width="6" customWidth="1"/>
  </cols>
  <sheetData>
    <row r="1" spans="1:21" s="51" customFormat="1" ht="36.75" customHeight="1">
      <c r="A1" s="70" t="s">
        <v>140</v>
      </c>
      <c r="B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21" s="51" customFormat="1" ht="15.75" customHeight="1" thickBot="1"/>
    <row r="3" spans="1:21" s="150" customFormat="1" ht="82.5" customHeight="1">
      <c r="A3" s="145" t="s">
        <v>0</v>
      </c>
      <c r="B3" s="145" t="s">
        <v>1</v>
      </c>
      <c r="C3" s="122" t="s">
        <v>4</v>
      </c>
      <c r="D3" s="122" t="s">
        <v>5</v>
      </c>
      <c r="E3" s="146" t="s">
        <v>6</v>
      </c>
      <c r="F3" s="146" t="s">
        <v>7</v>
      </c>
      <c r="G3" s="146" t="s">
        <v>29</v>
      </c>
      <c r="H3" s="206" t="s">
        <v>68</v>
      </c>
      <c r="I3" s="206"/>
      <c r="J3" s="206"/>
      <c r="K3" s="206" t="s">
        <v>72</v>
      </c>
      <c r="L3" s="147" t="s">
        <v>46</v>
      </c>
      <c r="M3" s="207" t="s">
        <v>81</v>
      </c>
      <c r="N3" s="147" t="s">
        <v>78</v>
      </c>
      <c r="O3" s="148" t="s">
        <v>8</v>
      </c>
      <c r="P3" s="209" t="s">
        <v>121</v>
      </c>
      <c r="Q3" s="210" t="s">
        <v>33</v>
      </c>
      <c r="R3" s="212" t="s">
        <v>101</v>
      </c>
      <c r="S3" s="205" t="s">
        <v>135</v>
      </c>
      <c r="T3" s="205" t="s">
        <v>136</v>
      </c>
      <c r="U3" s="149"/>
    </row>
    <row r="4" spans="1:21" s="150" customFormat="1" ht="54" customHeight="1" thickBot="1">
      <c r="A4" s="151"/>
      <c r="B4" s="151"/>
      <c r="C4" s="152"/>
      <c r="D4" s="152"/>
      <c r="E4" s="152"/>
      <c r="F4" s="152"/>
      <c r="G4" s="153"/>
      <c r="H4" s="154" t="s">
        <v>69</v>
      </c>
      <c r="I4" s="154" t="s">
        <v>70</v>
      </c>
      <c r="J4" s="154" t="s">
        <v>71</v>
      </c>
      <c r="K4" s="206"/>
      <c r="L4" s="153"/>
      <c r="M4" s="208"/>
      <c r="N4" s="153"/>
      <c r="O4" s="155"/>
      <c r="P4" s="209"/>
      <c r="Q4" s="211"/>
      <c r="R4" s="212"/>
      <c r="S4" s="205"/>
      <c r="T4" s="205"/>
      <c r="U4" s="149"/>
    </row>
    <row r="5" spans="1:21" s="68" customFormat="1" ht="31.5">
      <c r="A5" s="71" t="s">
        <v>152</v>
      </c>
      <c r="B5" s="72" t="s">
        <v>115</v>
      </c>
      <c r="C5" s="73">
        <v>80</v>
      </c>
      <c r="D5" s="74">
        <v>38799</v>
      </c>
      <c r="E5" s="74">
        <f>SUM(D5/100)</f>
        <v>387.99</v>
      </c>
      <c r="F5" s="75">
        <f>SUM(C5*E5)</f>
        <v>31039.200000000001</v>
      </c>
      <c r="G5" s="76"/>
      <c r="H5" s="76">
        <v>34705.199999999997</v>
      </c>
      <c r="I5" s="76">
        <f>SUM(H5/1.3)</f>
        <v>26696.307692307688</v>
      </c>
      <c r="J5" s="76">
        <f>SUM(H5-I5)</f>
        <v>8008.8923076923093</v>
      </c>
      <c r="K5" s="76"/>
      <c r="L5" s="76">
        <v>520.57000000000005</v>
      </c>
      <c r="M5" s="76">
        <f>SUM(H5*15%)</f>
        <v>5205.78</v>
      </c>
      <c r="N5" s="76"/>
      <c r="O5" s="43">
        <f>SUM(F5+G5+H5+K5+L5+N5+M5)</f>
        <v>71470.75</v>
      </c>
      <c r="P5" s="44">
        <f>SUM(F5+G5+L5+N5+M5)</f>
        <v>36765.550000000003</v>
      </c>
      <c r="Q5" s="50">
        <f>SUM(D5-F5-G5-L5-N5-M5)</f>
        <v>2033.4499999999998</v>
      </c>
      <c r="R5" s="50">
        <f>SUM(D5+H5+K5)</f>
        <v>73504.2</v>
      </c>
      <c r="S5" s="69">
        <v>1.5</v>
      </c>
      <c r="T5" s="69">
        <f>SUM(H5*S5/100)</f>
        <v>520.57799999999997</v>
      </c>
      <c r="U5" s="69" t="s">
        <v>138</v>
      </c>
    </row>
  </sheetData>
  <mergeCells count="8">
    <mergeCell ref="S3:S4"/>
    <mergeCell ref="T3:T4"/>
    <mergeCell ref="H3:J3"/>
    <mergeCell ref="K3:K4"/>
    <mergeCell ref="M3:M4"/>
    <mergeCell ref="P3:P4"/>
    <mergeCell ref="Q3:Q4"/>
    <mergeCell ref="R3:R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7" max="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4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" sqref="AI1"/>
    </sheetView>
  </sheetViews>
  <sheetFormatPr defaultRowHeight="15"/>
  <cols>
    <col min="1" max="1" width="29.7109375" customWidth="1"/>
    <col min="2" max="2" width="18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4.28515625" customWidth="1"/>
    <col min="31" max="31" width="10.140625" customWidth="1"/>
    <col min="32" max="33" width="11.42578125" customWidth="1"/>
    <col min="34" max="34" width="12.28515625" customWidth="1"/>
    <col min="35" max="35" width="12" customWidth="1"/>
    <col min="36" max="36" width="11.85546875" customWidth="1"/>
    <col min="37" max="38" width="10.5703125" customWidth="1"/>
    <col min="39" max="39" width="10.7109375" customWidth="1"/>
    <col min="40" max="40" width="11.85546875" customWidth="1"/>
    <col min="41" max="41" width="13.140625" customWidth="1"/>
    <col min="42" max="43" width="13.28515625" customWidth="1"/>
  </cols>
  <sheetData>
    <row r="1" spans="1:43" ht="18.75">
      <c r="A1" s="3" t="s">
        <v>140</v>
      </c>
      <c r="B1" s="3"/>
      <c r="C1" s="3"/>
      <c r="D1" s="3"/>
      <c r="E1" s="3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</row>
    <row r="2" spans="1:43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3" s="89" customFormat="1" ht="77.25" customHeight="1" thickBot="1">
      <c r="A3" s="156" t="s">
        <v>0</v>
      </c>
      <c r="B3" s="156" t="s">
        <v>1</v>
      </c>
      <c r="C3" s="157" t="s">
        <v>14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7" t="s">
        <v>24</v>
      </c>
      <c r="S3" s="159"/>
      <c r="T3" s="159"/>
      <c r="U3" s="159"/>
      <c r="V3" s="159"/>
      <c r="W3" s="159"/>
      <c r="X3" s="159"/>
      <c r="Y3" s="159"/>
      <c r="Z3" s="160"/>
      <c r="AA3" s="161" t="s">
        <v>4</v>
      </c>
      <c r="AB3" s="162" t="s">
        <v>5</v>
      </c>
      <c r="AC3" s="163" t="s">
        <v>6</v>
      </c>
      <c r="AD3" s="164" t="s">
        <v>7</v>
      </c>
      <c r="AE3" s="213" t="s">
        <v>29</v>
      </c>
      <c r="AF3" s="213"/>
      <c r="AG3" s="213" t="s">
        <v>132</v>
      </c>
      <c r="AH3" s="213"/>
      <c r="AI3" s="216" t="s">
        <v>68</v>
      </c>
      <c r="AJ3" s="191"/>
      <c r="AK3" s="191"/>
      <c r="AL3" s="187" t="s">
        <v>87</v>
      </c>
      <c r="AM3" s="217" t="s">
        <v>86</v>
      </c>
      <c r="AN3" s="165" t="s">
        <v>8</v>
      </c>
      <c r="AO3" s="218" t="s">
        <v>74</v>
      </c>
      <c r="AP3" s="214" t="s">
        <v>33</v>
      </c>
      <c r="AQ3" s="199" t="s">
        <v>101</v>
      </c>
    </row>
    <row r="4" spans="1:43" s="89" customFormat="1" ht="40.5" customHeight="1" thickBot="1">
      <c r="A4" s="166"/>
      <c r="B4" s="166"/>
      <c r="C4" s="167" t="s">
        <v>3</v>
      </c>
      <c r="D4" s="167" t="s">
        <v>47</v>
      </c>
      <c r="E4" s="167" t="s">
        <v>48</v>
      </c>
      <c r="F4" s="167" t="s">
        <v>49</v>
      </c>
      <c r="G4" s="160" t="s">
        <v>50</v>
      </c>
      <c r="H4" s="167" t="s">
        <v>21</v>
      </c>
      <c r="I4" s="167" t="s">
        <v>22</v>
      </c>
      <c r="J4" s="167" t="s">
        <v>23</v>
      </c>
      <c r="K4" s="167" t="s">
        <v>51</v>
      </c>
      <c r="L4" s="167" t="s">
        <v>52</v>
      </c>
      <c r="M4" s="167" t="s">
        <v>53</v>
      </c>
      <c r="N4" s="160" t="s">
        <v>54</v>
      </c>
      <c r="O4" s="167" t="s">
        <v>55</v>
      </c>
      <c r="P4" s="167" t="s">
        <v>56</v>
      </c>
      <c r="Q4" s="167" t="s">
        <v>57</v>
      </c>
      <c r="R4" s="167" t="s">
        <v>58</v>
      </c>
      <c r="S4" s="167" t="s">
        <v>59</v>
      </c>
      <c r="T4" s="167" t="s">
        <v>60</v>
      </c>
      <c r="U4" s="167" t="s">
        <v>61</v>
      </c>
      <c r="V4" s="167" t="s">
        <v>62</v>
      </c>
      <c r="W4" s="167" t="s">
        <v>63</v>
      </c>
      <c r="X4" s="167" t="s">
        <v>64</v>
      </c>
      <c r="Y4" s="167" t="s">
        <v>65</v>
      </c>
      <c r="Z4" s="167" t="s">
        <v>66</v>
      </c>
      <c r="AA4" s="168"/>
      <c r="AB4" s="168"/>
      <c r="AC4" s="168"/>
      <c r="AD4" s="168"/>
      <c r="AE4" s="169"/>
      <c r="AF4" s="169"/>
      <c r="AG4" s="169"/>
      <c r="AH4" s="169"/>
      <c r="AI4" s="100" t="s">
        <v>69</v>
      </c>
      <c r="AJ4" s="100" t="s">
        <v>70</v>
      </c>
      <c r="AK4" s="100" t="s">
        <v>71</v>
      </c>
      <c r="AL4" s="188"/>
      <c r="AM4" s="217"/>
      <c r="AN4" s="165"/>
      <c r="AO4" s="218"/>
      <c r="AP4" s="215"/>
      <c r="AQ4" s="199"/>
    </row>
    <row r="5" spans="1:43" s="89" customFormat="1" ht="58.9" customHeight="1">
      <c r="A5" s="170"/>
      <c r="B5" s="170"/>
      <c r="C5" s="171"/>
      <c r="D5" s="171"/>
      <c r="E5" s="163"/>
      <c r="F5" s="171"/>
      <c r="G5" s="172"/>
      <c r="H5" s="163"/>
      <c r="I5" s="163"/>
      <c r="J5" s="163"/>
      <c r="K5" s="163"/>
      <c r="L5" s="163"/>
      <c r="M5" s="171"/>
      <c r="N5" s="172"/>
      <c r="O5" s="163"/>
      <c r="P5" s="163"/>
      <c r="Q5" s="173"/>
      <c r="R5" s="171"/>
      <c r="S5" s="174"/>
      <c r="T5" s="174"/>
      <c r="U5" s="174"/>
      <c r="V5" s="174"/>
      <c r="W5" s="174"/>
      <c r="X5" s="174"/>
      <c r="Y5" s="174"/>
      <c r="Z5" s="174"/>
      <c r="AA5" s="171"/>
      <c r="AB5" s="171"/>
      <c r="AC5" s="171"/>
      <c r="AD5" s="171"/>
      <c r="AE5" s="175" t="s">
        <v>85</v>
      </c>
      <c r="AF5" s="175"/>
      <c r="AG5" s="175" t="s">
        <v>85</v>
      </c>
      <c r="AH5" s="175"/>
      <c r="AI5" s="100"/>
      <c r="AJ5" s="100"/>
      <c r="AK5" s="100"/>
      <c r="AL5" s="100"/>
      <c r="AM5" s="176"/>
      <c r="AN5" s="165"/>
      <c r="AO5" s="177"/>
      <c r="AP5" s="178"/>
    </row>
    <row r="6" spans="1:43" ht="15.75" hidden="1">
      <c r="A6" s="14" t="s">
        <v>35</v>
      </c>
      <c r="B6" s="15"/>
      <c r="C6" s="16">
        <v>16</v>
      </c>
      <c r="D6" s="16">
        <v>2</v>
      </c>
      <c r="E6" s="17">
        <v>2</v>
      </c>
      <c r="F6" s="16">
        <v>2</v>
      </c>
      <c r="G6" s="17">
        <v>0</v>
      </c>
      <c r="H6" s="17">
        <v>0</v>
      </c>
      <c r="I6" s="17">
        <v>3</v>
      </c>
      <c r="J6" s="17">
        <v>2</v>
      </c>
      <c r="K6" s="17">
        <v>0</v>
      </c>
      <c r="L6" s="17">
        <v>2</v>
      </c>
      <c r="M6" s="16">
        <v>1</v>
      </c>
      <c r="N6" s="17">
        <v>0</v>
      </c>
      <c r="O6" s="17">
        <v>2</v>
      </c>
      <c r="P6" s="17">
        <v>2</v>
      </c>
      <c r="Q6" s="18">
        <v>2</v>
      </c>
      <c r="R6" s="16">
        <v>2</v>
      </c>
      <c r="S6" s="19">
        <v>1</v>
      </c>
      <c r="T6" s="19">
        <v>2</v>
      </c>
      <c r="U6" s="19">
        <v>1</v>
      </c>
      <c r="V6" s="19">
        <v>1</v>
      </c>
      <c r="W6" s="19">
        <v>2</v>
      </c>
      <c r="X6" s="19">
        <v>0</v>
      </c>
      <c r="Y6" s="19">
        <v>2</v>
      </c>
      <c r="Z6" s="19">
        <v>4</v>
      </c>
      <c r="AA6" s="20"/>
      <c r="AB6" s="21">
        <v>3288</v>
      </c>
      <c r="AC6" s="21">
        <f>SUM(AB6/100)</f>
        <v>32.880000000000003</v>
      </c>
      <c r="AD6" s="21">
        <f>SUM(AA6*AC6)</f>
        <v>0</v>
      </c>
      <c r="AE6" s="22"/>
      <c r="AF6" s="22"/>
      <c r="AG6" s="22"/>
      <c r="AH6" s="22">
        <v>0</v>
      </c>
      <c r="AI6" s="23"/>
      <c r="AJ6" s="23">
        <f>SUM(AI6/1.3)</f>
        <v>0</v>
      </c>
      <c r="AK6" s="23">
        <f>SUM(AI6-AJ6)</f>
        <v>0</v>
      </c>
      <c r="AL6" s="29"/>
      <c r="AM6" s="24"/>
      <c r="AN6" s="25">
        <f>SUM(AD6+AF6+AH6+AI6+AM6)</f>
        <v>0</v>
      </c>
      <c r="AO6" s="25">
        <f>SUM(AD6+AF6+AH6)</f>
        <v>0</v>
      </c>
      <c r="AP6" s="26">
        <f>AB6-AD6-AF6</f>
        <v>3288</v>
      </c>
    </row>
    <row r="7" spans="1:43" ht="40.15" hidden="1" customHeight="1">
      <c r="A7" s="5" t="s">
        <v>36</v>
      </c>
      <c r="B7" s="27" t="s">
        <v>88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7"/>
      <c r="AB7" s="7"/>
      <c r="AC7" s="8">
        <f>SUM(AB7/100)</f>
        <v>0</v>
      </c>
      <c r="AD7" s="8">
        <f>SUM(AA7*AC7)</f>
        <v>0</v>
      </c>
      <c r="AE7" s="9">
        <v>30</v>
      </c>
      <c r="AF7" s="13">
        <f>SUM(AI7*AE7)/100</f>
        <v>0</v>
      </c>
      <c r="AG7" s="10">
        <v>60</v>
      </c>
      <c r="AH7" s="10">
        <f>SUM(AI7*AG7)/100</f>
        <v>0</v>
      </c>
      <c r="AI7" s="7"/>
      <c r="AJ7" s="7">
        <f>SUM(AI7/1.3)</f>
        <v>0</v>
      </c>
      <c r="AK7" s="7">
        <f>SUM(AI7-AJ7)</f>
        <v>0</v>
      </c>
      <c r="AL7" s="7">
        <f>SUM(AI7*25/100)</f>
        <v>0</v>
      </c>
      <c r="AM7" s="30">
        <f>SUM(AI7*25/100)</f>
        <v>0</v>
      </c>
      <c r="AN7" s="11">
        <f>SUM(AD7+AF7+AH7+AI7+AM7+AL7)</f>
        <v>0</v>
      </c>
      <c r="AO7" s="11">
        <f>SUM(AD7+AF7+AH7)</f>
        <v>0</v>
      </c>
      <c r="AP7" s="6">
        <f>SUM(AB7-AD7-AF7-AH7)</f>
        <v>0</v>
      </c>
    </row>
    <row r="8" spans="1:43" s="52" customFormat="1" ht="56.25">
      <c r="A8" s="54" t="s">
        <v>153</v>
      </c>
      <c r="B8" s="34" t="s">
        <v>126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4">
        <v>0</v>
      </c>
      <c r="AB8" s="36">
        <v>15808</v>
      </c>
      <c r="AC8" s="37">
        <f>SUM(AB8/100)</f>
        <v>158.08000000000001</v>
      </c>
      <c r="AD8" s="37">
        <f>SUM(AA8*AC8)</f>
        <v>0</v>
      </c>
      <c r="AE8" s="38"/>
      <c r="AF8" s="36">
        <f>1000-1000</f>
        <v>0</v>
      </c>
      <c r="AG8" s="39"/>
      <c r="AH8" s="39">
        <v>0</v>
      </c>
      <c r="AI8" s="40">
        <v>21042.78</v>
      </c>
      <c r="AJ8" s="40">
        <f>SUM(AI8/1.3)</f>
        <v>16186.753846153844</v>
      </c>
      <c r="AK8" s="40">
        <f>SUM(AI8-AJ8)</f>
        <v>4856.0261538461546</v>
      </c>
      <c r="AL8" s="40"/>
      <c r="AM8" s="55"/>
      <c r="AN8" s="42">
        <f>SUM(AD8+AF8+AH8+AI8+AM8)</f>
        <v>21042.78</v>
      </c>
      <c r="AO8" s="42">
        <f>SUM(AD8+AF8+AH8)</f>
        <v>0</v>
      </c>
      <c r="AP8" s="56">
        <f>SUM(AB8-AD8-AF8-AH8)</f>
        <v>15808</v>
      </c>
      <c r="AQ8" s="57">
        <f>SUM(AB8+AI8)</f>
        <v>36850.78</v>
      </c>
    </row>
    <row r="9" spans="1:43" s="53" customFormat="1" ht="40.15" customHeight="1">
      <c r="A9" s="54" t="s">
        <v>37</v>
      </c>
      <c r="B9" s="34" t="s">
        <v>124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4"/>
      <c r="AB9" s="36">
        <v>19326</v>
      </c>
      <c r="AC9" s="37"/>
      <c r="AD9" s="45">
        <f>SUM(AA9*AC9)</f>
        <v>0</v>
      </c>
      <c r="AE9" s="38"/>
      <c r="AF9" s="36"/>
      <c r="AG9" s="39">
        <v>30</v>
      </c>
      <c r="AH9" s="48">
        <f>SUM(AG9*AI9)/100</f>
        <v>7848.4350000000004</v>
      </c>
      <c r="AI9" s="40">
        <v>26161.45</v>
      </c>
      <c r="AJ9" s="40">
        <f>SUM(AI9/1.3)</f>
        <v>20124.192307692309</v>
      </c>
      <c r="AK9" s="40">
        <f>SUM(AI9-AJ9)</f>
        <v>6037.2576923076922</v>
      </c>
      <c r="AL9" s="40">
        <f>SUM(AI9*0.25)-0.01</f>
        <v>6540.3525</v>
      </c>
      <c r="AM9" s="36"/>
      <c r="AN9" s="41">
        <f>SUM(AD9+AF9+AH9+AI9+AM9+AL9)</f>
        <v>40550.237500000003</v>
      </c>
      <c r="AO9" s="42">
        <f>SUM(AD9+AF9+AH9+AL9)</f>
        <v>14388.7875</v>
      </c>
      <c r="AP9" s="47">
        <f>AB9-AD9-AF9-AH9-AL9</f>
        <v>4937.2124999999987</v>
      </c>
      <c r="AQ9" s="57">
        <f>SUM(AB9+AI9)</f>
        <v>45487.45</v>
      </c>
    </row>
    <row r="10" spans="1:43">
      <c r="E10">
        <v>66922.7</v>
      </c>
    </row>
    <row r="14" spans="1:43">
      <c r="A14" s="46"/>
    </row>
    <row r="16" spans="1:43">
      <c r="B16" s="31"/>
    </row>
    <row r="17" spans="2:32">
      <c r="B17" s="31"/>
    </row>
    <row r="18" spans="2:32">
      <c r="B18" s="31"/>
    </row>
    <row r="19" spans="2:32">
      <c r="B19" s="31"/>
    </row>
    <row r="20" spans="2:32">
      <c r="B20" s="31"/>
    </row>
    <row r="21" spans="2:32">
      <c r="B21" s="31"/>
    </row>
    <row r="22" spans="2:32">
      <c r="B22" s="31"/>
    </row>
    <row r="24" spans="2:32">
      <c r="AF24" t="s">
        <v>139</v>
      </c>
    </row>
  </sheetData>
  <mergeCells count="8">
    <mergeCell ref="AQ3:AQ4"/>
    <mergeCell ref="AE3:AF3"/>
    <mergeCell ref="AG3:AH3"/>
    <mergeCell ref="AL3:AL4"/>
    <mergeCell ref="AP3:AP4"/>
    <mergeCell ref="AI3:AK3"/>
    <mergeCell ref="AM3:AM4"/>
    <mergeCell ref="AO3:AO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2021-07-22T09:24:06Z</cp:lastPrinted>
  <dcterms:created xsi:type="dcterms:W3CDTF">2014-07-06T03:46:52Z</dcterms:created>
  <dcterms:modified xsi:type="dcterms:W3CDTF">2021-08-01T14:34:11Z</dcterms:modified>
</cp:coreProperties>
</file>