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'БОБ+ЦБ'!$A$1:$AN$13</definedName>
    <definedName name="_xlnm.Print_Area" localSheetId="4">'Детский дом (2)'!$A$1:$O$5</definedName>
    <definedName name="_xlnm.Print_Area" localSheetId="2">'ДОД (2)'!$A$1:$N$7</definedName>
    <definedName name="_xlnm.Print_Area" localSheetId="0">'ДОУ (2)'!$A$1:$T$18</definedName>
    <definedName name="_xlnm.Print_Area" localSheetId="3">коррекц.!$A$1:$T$8</definedName>
    <definedName name="_xlnm.Print_Area" localSheetId="1">'ШКОЛЫ (2)'!$A$2:$U$20</definedName>
  </definedNames>
  <calcPr calcId="125725"/>
</workbook>
</file>

<file path=xl/calcChain.xml><?xml version="1.0" encoding="utf-8"?>
<calcChain xmlns="http://schemas.openxmlformats.org/spreadsheetml/2006/main">
  <c r="M5" i="10"/>
  <c r="M6" i="9"/>
  <c r="S17" i="8"/>
  <c r="S18"/>
  <c r="S18" i="7"/>
  <c r="T8" i="8"/>
  <c r="AL9" i="6"/>
  <c r="AH9"/>
  <c r="F11" i="8"/>
  <c r="T15"/>
  <c r="S16" i="7"/>
  <c r="R6"/>
  <c r="T20" i="8"/>
  <c r="H18" i="7"/>
  <c r="H10"/>
  <c r="I10" s="1"/>
  <c r="T10" s="1"/>
  <c r="E10"/>
  <c r="F10" s="1"/>
  <c r="S17"/>
  <c r="E18"/>
  <c r="F18" s="1"/>
  <c r="I18" s="1"/>
  <c r="T18" s="1"/>
  <c r="L18"/>
  <c r="M18" s="1"/>
  <c r="L10"/>
  <c r="M10" s="1"/>
  <c r="F7" i="8"/>
  <c r="E5" i="7"/>
  <c r="F5" s="1"/>
  <c r="I5" s="1"/>
  <c r="T5" s="1"/>
  <c r="S5" i="4"/>
  <c r="E16" i="8"/>
  <c r="F16" s="1"/>
  <c r="E15"/>
  <c r="F15" s="1"/>
  <c r="F6"/>
  <c r="H11" i="7"/>
  <c r="E15"/>
  <c r="F15" s="1"/>
  <c r="I15" s="1"/>
  <c r="T15" s="1"/>
  <c r="E14" i="8"/>
  <c r="F14" s="1"/>
  <c r="R5" i="7"/>
  <c r="E6"/>
  <c r="F6" s="1"/>
  <c r="E7"/>
  <c r="F7" s="1"/>
  <c r="E8"/>
  <c r="F8"/>
  <c r="I8" s="1"/>
  <c r="T8" s="1"/>
  <c r="E9"/>
  <c r="F9" s="1"/>
  <c r="I9" s="1"/>
  <c r="T9" s="1"/>
  <c r="E11"/>
  <c r="F11" s="1"/>
  <c r="E12"/>
  <c r="F12" s="1"/>
  <c r="E13"/>
  <c r="F13"/>
  <c r="I13" s="1"/>
  <c r="T13" s="1"/>
  <c r="E14"/>
  <c r="F14" s="1"/>
  <c r="I14" s="1"/>
  <c r="T14" s="1"/>
  <c r="E16"/>
  <c r="F16" s="1"/>
  <c r="E17"/>
  <c r="H7" i="8"/>
  <c r="H8"/>
  <c r="H9"/>
  <c r="H10"/>
  <c r="H11"/>
  <c r="I11" s="1"/>
  <c r="U11" s="1"/>
  <c r="H12"/>
  <c r="H13"/>
  <c r="H14"/>
  <c r="H15"/>
  <c r="I15" s="1"/>
  <c r="H16"/>
  <c r="H17"/>
  <c r="H18"/>
  <c r="H19"/>
  <c r="H20"/>
  <c r="H6"/>
  <c r="I6" s="1"/>
  <c r="U6" s="1"/>
  <c r="E20"/>
  <c r="F20" s="1"/>
  <c r="E19"/>
  <c r="F19" s="1"/>
  <c r="E18"/>
  <c r="F18" s="1"/>
  <c r="E17"/>
  <c r="F17" s="1"/>
  <c r="E13"/>
  <c r="F13" s="1"/>
  <c r="E12"/>
  <c r="F12" s="1"/>
  <c r="I12" s="1"/>
  <c r="U12" s="1"/>
  <c r="E10"/>
  <c r="F10" s="1"/>
  <c r="E9"/>
  <c r="F9" s="1"/>
  <c r="E8"/>
  <c r="F8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/>
  <c r="O18"/>
  <c r="P18" s="1"/>
  <c r="O19"/>
  <c r="P19" s="1"/>
  <c r="O20"/>
  <c r="P20" s="1"/>
  <c r="O6"/>
  <c r="P6" s="1"/>
  <c r="E5" i="9"/>
  <c r="F5"/>
  <c r="J5"/>
  <c r="K5" s="1"/>
  <c r="T14" i="8"/>
  <c r="S9"/>
  <c r="F17" i="7"/>
  <c r="S13" i="8"/>
  <c r="R13" i="7"/>
  <c r="I5" i="10"/>
  <c r="J5" s="1"/>
  <c r="E5"/>
  <c r="F5" s="1"/>
  <c r="O5" s="1"/>
  <c r="J6" i="9"/>
  <c r="K6" s="1"/>
  <c r="E6"/>
  <c r="F6" s="1"/>
  <c r="N6" s="1"/>
  <c r="S16" i="8"/>
  <c r="L20"/>
  <c r="S19"/>
  <c r="Q19"/>
  <c r="K19"/>
  <c r="L17"/>
  <c r="Q14"/>
  <c r="Q10"/>
  <c r="K9"/>
  <c r="P12" i="7"/>
  <c r="P11"/>
  <c r="P9"/>
  <c r="L17"/>
  <c r="M17" s="1"/>
  <c r="H17"/>
  <c r="I17" s="1"/>
  <c r="T17" s="1"/>
  <c r="N16"/>
  <c r="L16"/>
  <c r="M16" s="1"/>
  <c r="H16"/>
  <c r="L15"/>
  <c r="M15" s="1"/>
  <c r="H15"/>
  <c r="L14"/>
  <c r="M14" s="1"/>
  <c r="H14"/>
  <c r="N13"/>
  <c r="L13"/>
  <c r="M13" s="1"/>
  <c r="H13"/>
  <c r="L12"/>
  <c r="M12"/>
  <c r="H12"/>
  <c r="I12" s="1"/>
  <c r="T12" s="1"/>
  <c r="N11"/>
  <c r="L11"/>
  <c r="M11"/>
  <c r="L9"/>
  <c r="M9" s="1"/>
  <c r="H9"/>
  <c r="L8"/>
  <c r="M8" s="1"/>
  <c r="H8"/>
  <c r="L7"/>
  <c r="M7"/>
  <c r="H7"/>
  <c r="L6"/>
  <c r="M6" s="1"/>
  <c r="H6"/>
  <c r="I6" s="1"/>
  <c r="T6" s="1"/>
  <c r="L5"/>
  <c r="M5" s="1"/>
  <c r="H5"/>
  <c r="AF7" i="6"/>
  <c r="AH7"/>
  <c r="AC7"/>
  <c r="AD7" s="1"/>
  <c r="AN7" s="1"/>
  <c r="AM7"/>
  <c r="AL7"/>
  <c r="J5" i="4"/>
  <c r="K5"/>
  <c r="T5" s="1"/>
  <c r="AF8" i="6"/>
  <c r="AD9"/>
  <c r="AN9" s="1"/>
  <c r="AC6"/>
  <c r="AD6" s="1"/>
  <c r="AN6" s="1"/>
  <c r="AJ7"/>
  <c r="AK7" s="1"/>
  <c r="AJ8"/>
  <c r="AK8" s="1"/>
  <c r="AJ9"/>
  <c r="AK9" s="1"/>
  <c r="AJ6"/>
  <c r="AK6" s="1"/>
  <c r="P5" i="4"/>
  <c r="Q5" s="1"/>
  <c r="AC8" i="6"/>
  <c r="AD8" s="1"/>
  <c r="AN8" s="1"/>
  <c r="N5" i="9"/>
  <c r="I8" i="8" l="1"/>
  <c r="U8" s="1"/>
  <c r="I18"/>
  <c r="U18" s="1"/>
  <c r="I20"/>
  <c r="U20" s="1"/>
  <c r="I14"/>
  <c r="U14" s="1"/>
  <c r="I17"/>
  <c r="U17" s="1"/>
  <c r="I10"/>
  <c r="U10" s="1"/>
  <c r="I7"/>
  <c r="U7" s="1"/>
  <c r="I16"/>
  <c r="U16" s="1"/>
  <c r="I13"/>
  <c r="U13" s="1"/>
  <c r="I19"/>
  <c r="U19" s="1"/>
  <c r="U15"/>
  <c r="I9"/>
  <c r="U9" s="1"/>
  <c r="I11" i="7"/>
  <c r="T11" s="1"/>
  <c r="I7"/>
  <c r="T7" s="1"/>
  <c r="I16"/>
  <c r="T16" s="1"/>
</calcChain>
</file>

<file path=xl/sharedStrings.xml><?xml version="1.0" encoding="utf-8"?>
<sst xmlns="http://schemas.openxmlformats.org/spreadsheetml/2006/main" count="224" uniqueCount="143">
  <si>
    <t>Наименование ОО</t>
  </si>
  <si>
    <t>Ф.И.О руководителя</t>
  </si>
  <si>
    <t>Количество баллов</t>
  </si>
  <si>
    <t>1.1. Рейтинг ОО</t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</si>
  <si>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</si>
  <si>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</si>
  <si>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</si>
  <si>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</si>
  <si>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</si>
  <si>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</si>
  <si>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Владимирцева Л. В.</t>
  </si>
  <si>
    <t>Сенафонкина О. В.</t>
  </si>
  <si>
    <t>Редковская Т. Ф.</t>
  </si>
  <si>
    <t>Казакова Н. В.</t>
  </si>
  <si>
    <t>Хаснулина Л. Д.</t>
  </si>
  <si>
    <t>1. Качество и доступность образования</t>
  </si>
  <si>
    <t>2. Модернизация 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</si>
  <si>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</si>
  <si>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</si>
  <si>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</si>
  <si>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r>
      <t xml:space="preserve">3.1. 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</si>
  <si>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</si>
  <si>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</si>
  <si>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</si>
  <si>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</si>
  <si>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t>2.Совершенствование условий для социальной адаптации</t>
  </si>
  <si>
    <t>Карпачева Т. И.</t>
  </si>
  <si>
    <t>Меренкова С. Ю.</t>
  </si>
  <si>
    <t>Морозова И. В.</t>
  </si>
  <si>
    <t xml:space="preserve">Какунина М. А. </t>
  </si>
  <si>
    <t>допл за стаж работы</t>
  </si>
  <si>
    <t>доплата за стаж работы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</si>
  <si>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</si>
  <si>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</si>
  <si>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</si>
  <si>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МБОУ "Центр психолого-медико-социального сопровождения"</t>
  </si>
  <si>
    <t>МБУ "Центр развития образования"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</si>
  <si>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</si>
  <si>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</si>
  <si>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</si>
  <si>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</si>
  <si>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</si>
  <si>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</si>
  <si>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</si>
  <si>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</si>
  <si>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</si>
  <si>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</si>
  <si>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</si>
  <si>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</si>
  <si>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</si>
  <si>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</si>
  <si>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</si>
  <si>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</si>
  <si>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</si>
  <si>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</si>
  <si>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</si>
  <si>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</si>
  <si>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</si>
  <si>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</si>
  <si>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</si>
  <si>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</si>
  <si>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</si>
  <si>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</si>
  <si>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</si>
  <si>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</si>
  <si>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</si>
  <si>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</si>
  <si>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</si>
  <si>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</si>
  <si>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</si>
  <si>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</si>
  <si>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</si>
  <si>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Николаева А.Б.</t>
  </si>
  <si>
    <t>■</t>
  </si>
  <si>
    <t>Чернышова Н А</t>
  </si>
  <si>
    <t>Гугунова О. Ю.</t>
  </si>
  <si>
    <t>доплата от должностного оклада 5% от оклада за наличие дополнит фактич адр</t>
  </si>
  <si>
    <t>Головей С. Д.</t>
  </si>
  <si>
    <t>Гракова Н. А.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</si>
  <si>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</si>
  <si>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</si>
  <si>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</si>
  <si>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</si>
  <si>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% от оклада</t>
  </si>
  <si>
    <t>3 оклада годовых(25% ежемесячно)</t>
  </si>
  <si>
    <t>премия 25% от оклада</t>
  </si>
  <si>
    <t>Эпова М. Г.</t>
  </si>
  <si>
    <t>1. МБДОУ "Вагановский д/с"</t>
  </si>
  <si>
    <t>3. МБДОУ "Голубевский д/с "Улыбка"</t>
  </si>
  <si>
    <t>4. МБДОУ "Ерёминский д/с"</t>
  </si>
  <si>
    <t>5. МБДОУ "Калинкинский д/с"</t>
  </si>
  <si>
    <t>7. МБДОУ "Окуневский д/с "Умка"</t>
  </si>
  <si>
    <t>8. МБДОУ "Озерский д/с"</t>
  </si>
  <si>
    <t>9. МБДОУ "Плотниковский д/с "Теремок"</t>
  </si>
  <si>
    <t>10. МБДОУ "Протопоповский д/с"</t>
  </si>
  <si>
    <t>задолженность по родит пл</t>
  </si>
  <si>
    <t>колич баллов по оцен листам</t>
  </si>
  <si>
    <t>Сафронов А.М.</t>
  </si>
  <si>
    <t>Зудина Т.С.</t>
  </si>
  <si>
    <t>2. МБДОУ "Васьковский д/с"</t>
  </si>
  <si>
    <t>1 МОБУ "Журавлевская ООШ"</t>
  </si>
  <si>
    <t>2. МБОУ "Калинкинская ООШ"</t>
  </si>
  <si>
    <t>5. МБОУ "Плотниковская ООШ"</t>
  </si>
  <si>
    <t>6. МБОУ "Протопоповская ООШ"</t>
  </si>
  <si>
    <t>7. МБОУ "Пьяновская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</si>
  <si>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</si>
  <si>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</si>
  <si>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</si>
  <si>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12. МБОУ "Заринская СОШ им. М. А. Аверина"</t>
  </si>
  <si>
    <t>13. МБОУ "Окуневская СОШ"</t>
  </si>
  <si>
    <t>14. МБОУ "Падунская СОШ"</t>
  </si>
  <si>
    <t>15. МБОУ "Тарасовская СОШ"</t>
  </si>
  <si>
    <t>Брехт Наталья Николаевна</t>
  </si>
  <si>
    <t>Перфильев А.Н.</t>
  </si>
  <si>
    <t>Горемыкина И.В.</t>
  </si>
  <si>
    <t>Бауман Т.И.</t>
  </si>
  <si>
    <t>Пискунова Е,А.</t>
  </si>
  <si>
    <t>5% за долг по родит плате</t>
  </si>
  <si>
    <t>Савенков П.Г.</t>
  </si>
  <si>
    <t>Дроздова Л.В.</t>
  </si>
  <si>
    <t>Завьялова Т.Б.</t>
  </si>
  <si>
    <t>6. МБДОУ "Каменский д/с"</t>
  </si>
  <si>
    <t>Колерова М.С.</t>
  </si>
  <si>
    <t>Ефремова Т.Н.</t>
  </si>
  <si>
    <t>Мальцева О.В.</t>
  </si>
  <si>
    <t>Медведева О.А.</t>
  </si>
  <si>
    <t>11. МБДОУ "Трудовской д/с"</t>
  </si>
  <si>
    <t>12. МБДОУ "Промышленновский д/с № 1 "Рябинка"</t>
  </si>
  <si>
    <t>13. МБДОУ "Детский сад "Светлячок"</t>
  </si>
  <si>
    <t>14. МАДОУ Промышленновский д/с "Сказка"</t>
  </si>
  <si>
    <t>Итого баллов за минусом5%</t>
  </si>
  <si>
    <t>Итого баллов за минусом 5%</t>
  </si>
  <si>
    <t>сложность и напр</t>
  </si>
  <si>
    <t>расчет оплаты труда  руководителя - 01.10.2020г.</t>
  </si>
  <si>
    <t>Литке Д.С.</t>
  </si>
  <si>
    <t>Лукашенко Л.В.</t>
  </si>
  <si>
    <t>3. МБОУ "Краснинская ООШ"</t>
  </si>
  <si>
    <t>4. МБОУ "Лебедевская ООШ"</t>
  </si>
  <si>
    <t>8. МБОУ "Титовская ООШ"</t>
  </si>
  <si>
    <t>1. УДО ДДТ</t>
  </si>
  <si>
    <t>2. МБОУ ДО "ДЮСШ п. Плотниково"</t>
  </si>
  <si>
    <t>МКОУ "Падунская школа-интерна"</t>
  </si>
  <si>
    <t>МКУ Окуневский детский дом "Мечта"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</si>
</sst>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0" xfId="0" applyFill="1"/>
    <xf numFmtId="0" fontId="2" fillId="2" borderId="12" xfId="0" applyFont="1" applyFill="1" applyBorder="1"/>
    <xf numFmtId="0" fontId="2" fillId="2" borderId="9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0" fontId="8" fillId="0" borderId="0" xfId="0" applyFont="1" applyFill="1"/>
    <xf numFmtId="0" fontId="7" fillId="0" borderId="0" xfId="0" applyFont="1" applyFill="1"/>
    <xf numFmtId="0" fontId="12" fillId="0" borderId="11" xfId="0" applyFont="1" applyFill="1" applyBorder="1"/>
    <xf numFmtId="0" fontId="12" fillId="0" borderId="1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vertical="center"/>
    </xf>
    <xf numFmtId="2" fontId="12" fillId="0" borderId="11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2" fillId="0" borderId="12" xfId="0" applyFont="1" applyFill="1" applyBorder="1"/>
    <xf numFmtId="0" fontId="12" fillId="0" borderId="13" xfId="0" applyFont="1" applyFill="1" applyBorder="1" applyAlignment="1">
      <alignment horizontal="right" vertical="center"/>
    </xf>
    <xf numFmtId="2" fontId="12" fillId="0" borderId="13" xfId="0" applyNumberFormat="1" applyFont="1" applyFill="1" applyBorder="1" applyAlignment="1">
      <alignment horizontal="right" vertical="center"/>
    </xf>
    <xf numFmtId="1" fontId="12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2" fontId="12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/>
    <xf numFmtId="1" fontId="12" fillId="0" borderId="11" xfId="0" applyNumberFormat="1" applyFont="1" applyFill="1" applyBorder="1" applyAlignment="1">
      <alignment horizontal="right" vertical="center"/>
    </xf>
    <xf numFmtId="0" fontId="12" fillId="3" borderId="9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9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6" fillId="3" borderId="15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right" vertical="center"/>
    </xf>
    <xf numFmtId="2" fontId="12" fillId="3" borderId="11" xfId="0" applyNumberFormat="1" applyFont="1" applyFill="1" applyBorder="1" applyAlignment="1">
      <alignment horizontal="right" vertical="center"/>
    </xf>
    <xf numFmtId="1" fontId="12" fillId="3" borderId="13" xfId="0" applyNumberFormat="1" applyFont="1" applyFill="1" applyBorder="1" applyAlignment="1">
      <alignment horizontal="right" vertical="center"/>
    </xf>
    <xf numFmtId="2" fontId="12" fillId="3" borderId="11" xfId="0" applyNumberFormat="1" applyFont="1" applyFill="1" applyBorder="1" applyAlignment="1">
      <alignment horizontal="right" vertical="center" wrapText="1"/>
    </xf>
    <xf numFmtId="0" fontId="12" fillId="4" borderId="11" xfId="0" applyFont="1" applyFill="1" applyBorder="1"/>
    <xf numFmtId="0" fontId="7" fillId="4" borderId="11" xfId="0" applyFont="1" applyFill="1" applyBorder="1"/>
    <xf numFmtId="0" fontId="14" fillId="0" borderId="12" xfId="0" applyFont="1" applyBorder="1"/>
    <xf numFmtId="0" fontId="14" fillId="0" borderId="12" xfId="0" applyFont="1" applyFill="1" applyBorder="1"/>
    <xf numFmtId="0" fontId="14" fillId="0" borderId="1" xfId="0" applyFont="1" applyFill="1" applyBorder="1"/>
    <xf numFmtId="2" fontId="12" fillId="3" borderId="13" xfId="0" applyNumberFormat="1" applyFont="1" applyFill="1" applyBorder="1" applyAlignment="1">
      <alignment horizontal="right" vertical="center"/>
    </xf>
    <xf numFmtId="2" fontId="12" fillId="0" borderId="14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wrapText="1"/>
    </xf>
    <xf numFmtId="0" fontId="7" fillId="0" borderId="11" xfId="0" applyFont="1" applyFill="1" applyBorder="1"/>
    <xf numFmtId="0" fontId="14" fillId="0" borderId="17" xfId="0" applyFont="1" applyFill="1" applyBorder="1"/>
    <xf numFmtId="0" fontId="0" fillId="0" borderId="0" xfId="0" applyBorder="1"/>
    <xf numFmtId="0" fontId="0" fillId="5" borderId="0" xfId="0" applyFill="1"/>
    <xf numFmtId="0" fontId="2" fillId="0" borderId="9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12" xfId="0" applyFont="1" applyFill="1" applyBorder="1"/>
    <xf numFmtId="2" fontId="15" fillId="0" borderId="1" xfId="0" applyNumberFormat="1" applyFont="1" applyFill="1" applyBorder="1"/>
    <xf numFmtId="0" fontId="15" fillId="0" borderId="23" xfId="0" applyFont="1" applyFill="1" applyBorder="1"/>
    <xf numFmtId="2" fontId="15" fillId="0" borderId="23" xfId="0" applyNumberFormat="1" applyFont="1" applyFill="1" applyBorder="1"/>
    <xf numFmtId="2" fontId="15" fillId="0" borderId="16" xfId="0" applyNumberFormat="1" applyFont="1" applyFill="1" applyBorder="1"/>
    <xf numFmtId="0" fontId="15" fillId="0" borderId="16" xfId="0" applyFont="1" applyFill="1" applyBorder="1"/>
    <xf numFmtId="2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/>
    <xf numFmtId="0" fontId="15" fillId="0" borderId="0" xfId="0" applyFont="1" applyFill="1"/>
    <xf numFmtId="0" fontId="15" fillId="0" borderId="17" xfId="0" applyFont="1" applyFill="1" applyBorder="1"/>
    <xf numFmtId="2" fontId="15" fillId="0" borderId="17" xfId="0" applyNumberFormat="1" applyFont="1" applyFill="1" applyBorder="1"/>
    <xf numFmtId="0" fontId="15" fillId="0" borderId="24" xfId="0" applyFont="1" applyFill="1" applyBorder="1"/>
    <xf numFmtId="2" fontId="15" fillId="0" borderId="24" xfId="0" applyNumberFormat="1" applyFont="1" applyFill="1" applyBorder="1"/>
    <xf numFmtId="2" fontId="15" fillId="0" borderId="8" xfId="0" applyNumberFormat="1" applyFont="1" applyFill="1" applyBorder="1"/>
    <xf numFmtId="0" fontId="15" fillId="0" borderId="6" xfId="0" applyFont="1" applyFill="1" applyBorder="1"/>
    <xf numFmtId="2" fontId="15" fillId="0" borderId="11" xfId="0" applyNumberFormat="1" applyFont="1" applyFill="1" applyBorder="1"/>
    <xf numFmtId="0" fontId="15" fillId="0" borderId="14" xfId="0" applyFont="1" applyFill="1" applyBorder="1"/>
    <xf numFmtId="0" fontId="17" fillId="0" borderId="12" xfId="0" applyFont="1" applyFill="1" applyBorder="1"/>
    <xf numFmtId="2" fontId="19" fillId="0" borderId="11" xfId="0" applyNumberFormat="1" applyFont="1" applyFill="1" applyBorder="1" applyAlignment="1">
      <alignment vertical="top" wrapText="1"/>
    </xf>
    <xf numFmtId="1" fontId="15" fillId="0" borderId="1" xfId="0" applyNumberFormat="1" applyFont="1" applyFill="1" applyBorder="1"/>
    <xf numFmtId="1" fontId="15" fillId="0" borderId="16" xfId="0" applyNumberFormat="1" applyFont="1" applyFill="1" applyBorder="1"/>
    <xf numFmtId="0" fontId="15" fillId="0" borderId="11" xfId="0" applyFont="1" applyFill="1" applyBorder="1" applyAlignment="1">
      <alignment vertical="center" wrapText="1"/>
    </xf>
    <xf numFmtId="2" fontId="15" fillId="0" borderId="11" xfId="0" applyNumberFormat="1" applyFont="1" applyFill="1" applyBorder="1" applyAlignment="1">
      <alignment vertical="center" wrapText="1"/>
    </xf>
    <xf numFmtId="0" fontId="17" fillId="0" borderId="23" xfId="0" applyFont="1" applyFill="1" applyBorder="1"/>
    <xf numFmtId="2" fontId="19" fillId="0" borderId="16" xfId="0" applyNumberFormat="1" applyFont="1" applyFill="1" applyBorder="1" applyAlignment="1">
      <alignment vertical="top" wrapText="1"/>
    </xf>
    <xf numFmtId="0" fontId="15" fillId="0" borderId="13" xfId="0" applyFont="1" applyFill="1" applyBorder="1"/>
    <xf numFmtId="0" fontId="15" fillId="0" borderId="15" xfId="0" applyFont="1" applyFill="1" applyBorder="1"/>
    <xf numFmtId="0" fontId="15" fillId="0" borderId="1" xfId="0" applyFont="1" applyFill="1" applyBorder="1" applyAlignment="1">
      <alignment vertical="top"/>
    </xf>
    <xf numFmtId="2" fontId="15" fillId="0" borderId="1" xfId="0" applyNumberFormat="1" applyFont="1" applyFill="1" applyBorder="1" applyAlignment="1">
      <alignment vertical="top"/>
    </xf>
    <xf numFmtId="2" fontId="15" fillId="0" borderId="16" xfId="0" applyNumberFormat="1" applyFont="1" applyFill="1" applyBorder="1" applyAlignment="1">
      <alignment vertical="top"/>
    </xf>
    <xf numFmtId="2" fontId="20" fillId="0" borderId="16" xfId="0" applyNumberFormat="1" applyFont="1" applyFill="1" applyBorder="1" applyAlignment="1">
      <alignment vertical="top" wrapText="1"/>
    </xf>
    <xf numFmtId="0" fontId="17" fillId="0" borderId="11" xfId="0" applyFont="1" applyFill="1" applyBorder="1"/>
    <xf numFmtId="0" fontId="18" fillId="0" borderId="11" xfId="0" applyFont="1" applyFill="1" applyBorder="1"/>
    <xf numFmtId="0" fontId="17" fillId="0" borderId="1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2" fontId="17" fillId="0" borderId="11" xfId="0" applyNumberFormat="1" applyFont="1" applyFill="1" applyBorder="1" applyAlignment="1">
      <alignment horizontal="right" vertical="center"/>
    </xf>
    <xf numFmtId="2" fontId="17" fillId="0" borderId="13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/>
    <xf numFmtId="0" fontId="14" fillId="0" borderId="23" xfId="0" applyFont="1" applyFill="1" applyBorder="1"/>
    <xf numFmtId="2" fontId="14" fillId="0" borderId="23" xfId="0" applyNumberFormat="1" applyFont="1" applyFill="1" applyBorder="1"/>
    <xf numFmtId="2" fontId="14" fillId="0" borderId="16" xfId="0" applyNumberFormat="1" applyFont="1" applyFill="1" applyBorder="1"/>
    <xf numFmtId="0" fontId="14" fillId="0" borderId="16" xfId="0" applyFont="1" applyFill="1" applyBorder="1"/>
    <xf numFmtId="2" fontId="21" fillId="0" borderId="16" xfId="0" applyNumberFormat="1" applyFont="1" applyFill="1" applyBorder="1" applyAlignment="1">
      <alignment vertical="top" wrapText="1"/>
    </xf>
    <xf numFmtId="0" fontId="21" fillId="0" borderId="11" xfId="0" applyFont="1" applyFill="1" applyBorder="1"/>
    <xf numFmtId="0" fontId="21" fillId="0" borderId="0" xfId="0" applyFont="1" applyFill="1"/>
    <xf numFmtId="0" fontId="21" fillId="0" borderId="0" xfId="0" applyFont="1"/>
    <xf numFmtId="2" fontId="17" fillId="0" borderId="1" xfId="0" applyNumberFormat="1" applyFont="1" applyFill="1" applyBorder="1" applyAlignment="1">
      <alignment horizontal="right" vertical="center"/>
    </xf>
    <xf numFmtId="14" fontId="0" fillId="0" borderId="0" xfId="0" applyNumberFormat="1"/>
    <xf numFmtId="2" fontId="17" fillId="0" borderId="14" xfId="0" applyNumberFormat="1" applyFont="1" applyFill="1" applyBorder="1" applyAlignment="1">
      <alignment horizontal="right" vertical="center"/>
    </xf>
    <xf numFmtId="0" fontId="0" fillId="6" borderId="0" xfId="0" applyFill="1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/>
    <xf numFmtId="0" fontId="5" fillId="0" borderId="1" xfId="0" applyFont="1" applyFill="1" applyBorder="1"/>
    <xf numFmtId="0" fontId="14" fillId="0" borderId="12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4" fillId="7" borderId="2" xfId="0" applyFont="1" applyFill="1" applyBorder="1" applyAlignment="1">
      <alignment vertical="center"/>
    </xf>
    <xf numFmtId="0" fontId="2" fillId="7" borderId="10" xfId="0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0" fillId="7" borderId="11" xfId="0" applyFill="1" applyBorder="1" applyAlignment="1">
      <alignment vertical="top" wrapText="1"/>
    </xf>
    <xf numFmtId="0" fontId="0" fillId="7" borderId="0" xfId="0" applyFill="1"/>
    <xf numFmtId="0" fontId="2" fillId="7" borderId="6" xfId="0" applyFont="1" applyFill="1" applyBorder="1"/>
    <xf numFmtId="0" fontId="2" fillId="7" borderId="8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top" wrapText="1"/>
    </xf>
    <xf numFmtId="0" fontId="5" fillId="7" borderId="2" xfId="0" applyFont="1" applyFill="1" applyBorder="1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8" xfId="0" applyFill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4" fillId="7" borderId="5" xfId="0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9" fillId="7" borderId="2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top" wrapText="1"/>
    </xf>
    <xf numFmtId="0" fontId="9" fillId="7" borderId="5" xfId="0" applyFont="1" applyFill="1" applyBorder="1" applyAlignment="1">
      <alignment vertical="top" wrapText="1"/>
    </xf>
    <xf numFmtId="0" fontId="6" fillId="7" borderId="5" xfId="0" applyFont="1" applyFill="1" applyBorder="1" applyAlignment="1">
      <alignment vertical="top" wrapText="1"/>
    </xf>
    <xf numFmtId="0" fontId="6" fillId="7" borderId="4" xfId="0" applyFont="1" applyFill="1" applyBorder="1" applyAlignment="1">
      <alignment vertical="top" wrapText="1"/>
    </xf>
    <xf numFmtId="0" fontId="10" fillId="7" borderId="2" xfId="0" applyFont="1" applyFill="1" applyBorder="1" applyAlignment="1">
      <alignment vertical="top" wrapText="1"/>
    </xf>
    <xf numFmtId="0" fontId="9" fillId="7" borderId="2" xfId="0" applyFont="1" applyFill="1" applyBorder="1" applyAlignment="1">
      <alignment vertical="top" wrapText="1"/>
    </xf>
    <xf numFmtId="0" fontId="6" fillId="7" borderId="2" xfId="0" applyFont="1" applyFill="1" applyBorder="1" applyAlignment="1">
      <alignment vertical="top" wrapText="1"/>
    </xf>
    <xf numFmtId="0" fontId="6" fillId="7" borderId="10" xfId="0" applyFont="1" applyFill="1" applyBorder="1" applyAlignment="1">
      <alignment vertical="top" wrapText="1"/>
    </xf>
    <xf numFmtId="0" fontId="7" fillId="7" borderId="11" xfId="0" applyFont="1" applyFill="1" applyBorder="1" applyAlignment="1">
      <alignment vertical="top" wrapText="1"/>
    </xf>
    <xf numFmtId="0" fontId="6" fillId="7" borderId="6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top" wrapText="1"/>
    </xf>
    <xf numFmtId="0" fontId="6" fillId="7" borderId="6" xfId="0" applyFont="1" applyFill="1" applyBorder="1" applyAlignment="1">
      <alignment vertical="top" wrapText="1"/>
    </xf>
    <xf numFmtId="0" fontId="6" fillId="7" borderId="8" xfId="0" applyFont="1" applyFill="1" applyBorder="1" applyAlignment="1">
      <alignment vertical="top" wrapText="1"/>
    </xf>
    <xf numFmtId="0" fontId="6" fillId="7" borderId="19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top" wrapText="1"/>
    </xf>
    <xf numFmtId="0" fontId="6" fillId="7" borderId="20" xfId="0" applyFont="1" applyFill="1" applyBorder="1" applyAlignment="1">
      <alignment vertical="top" wrapText="1"/>
    </xf>
    <xf numFmtId="0" fontId="6" fillId="7" borderId="0" xfId="0" applyFont="1" applyFill="1" applyBorder="1" applyAlignment="1">
      <alignment vertical="top" wrapText="1"/>
    </xf>
    <xf numFmtId="0" fontId="6" fillId="7" borderId="21" xfId="0" applyFont="1" applyFill="1" applyBorder="1" applyAlignment="1">
      <alignment vertical="top" wrapText="1"/>
    </xf>
    <xf numFmtId="0" fontId="6" fillId="7" borderId="22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26" xfId="0" applyFont="1" applyFill="1" applyBorder="1" applyAlignment="1">
      <alignment horizontal="center" vertical="top" wrapText="1"/>
    </xf>
    <xf numFmtId="0" fontId="2" fillId="7" borderId="27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top" wrapText="1"/>
    </xf>
    <xf numFmtId="0" fontId="2" fillId="7" borderId="25" xfId="0" applyFont="1" applyFill="1" applyBorder="1" applyAlignment="1">
      <alignment horizontal="center" vertical="top" wrapText="1"/>
    </xf>
    <xf numFmtId="0" fontId="2" fillId="7" borderId="18" xfId="0" applyFont="1" applyFill="1" applyBorder="1" applyAlignment="1">
      <alignment horizontal="center" vertical="top" wrapText="1"/>
    </xf>
    <xf numFmtId="0" fontId="2" fillId="7" borderId="30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view="pageBreakPreview"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" sqref="K1"/>
    </sheetView>
  </sheetViews>
  <sheetFormatPr defaultRowHeight="15"/>
  <cols>
    <col min="1" max="1" width="44" customWidth="1"/>
    <col min="2" max="2" width="20.7109375" customWidth="1"/>
    <col min="3" max="3" width="13.5703125" customWidth="1"/>
    <col min="4" max="4" width="9.7109375" customWidth="1"/>
    <col min="5" max="5" width="9" customWidth="1"/>
    <col min="6" max="6" width="8.28515625" customWidth="1"/>
    <col min="7" max="7" width="8.5703125" customWidth="1"/>
    <col min="8" max="8" width="8.85546875" customWidth="1"/>
    <col min="9" max="9" width="12.28515625" customWidth="1"/>
    <col min="10" max="10" width="7.5703125" customWidth="1"/>
    <col min="11" max="11" width="11.7109375" customWidth="1"/>
    <col min="12" max="12" width="11.28515625" customWidth="1"/>
    <col min="13" max="13" width="10.5703125" customWidth="1"/>
    <col min="14" max="14" width="11.28515625" customWidth="1"/>
    <col min="15" max="16" width="9.5703125" customWidth="1"/>
    <col min="17" max="17" width="11" customWidth="1"/>
    <col min="18" max="18" width="11.7109375" customWidth="1"/>
    <col min="19" max="19" width="11.28515625" customWidth="1"/>
    <col min="20" max="20" width="11" customWidth="1"/>
    <col min="21" max="22" width="9.5703125" customWidth="1"/>
  </cols>
  <sheetData>
    <row r="1" spans="1:20" ht="18.75">
      <c r="A1" s="1" t="s">
        <v>133</v>
      </c>
      <c r="B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2.25" customHeight="1" thickBot="1">
      <c r="K2" s="22" t="s">
        <v>73</v>
      </c>
      <c r="N2" s="22" t="s">
        <v>73</v>
      </c>
    </row>
    <row r="3" spans="1:20" s="114" customFormat="1" ht="49.5" customHeight="1">
      <c r="A3" s="110" t="s">
        <v>0</v>
      </c>
      <c r="B3" s="110" t="s">
        <v>1</v>
      </c>
      <c r="C3" s="155" t="s">
        <v>95</v>
      </c>
      <c r="D3" s="155" t="s">
        <v>96</v>
      </c>
      <c r="E3" s="155" t="s">
        <v>117</v>
      </c>
      <c r="F3" s="159" t="s">
        <v>130</v>
      </c>
      <c r="G3" s="155" t="s">
        <v>5</v>
      </c>
      <c r="H3" s="157" t="s">
        <v>6</v>
      </c>
      <c r="I3" s="157" t="s">
        <v>7</v>
      </c>
      <c r="J3" s="111" t="s">
        <v>30</v>
      </c>
      <c r="K3" s="161" t="s">
        <v>67</v>
      </c>
      <c r="L3" s="161"/>
      <c r="M3" s="161"/>
      <c r="N3" s="161" t="s">
        <v>71</v>
      </c>
      <c r="O3" s="162" t="s">
        <v>39</v>
      </c>
      <c r="P3" s="112" t="s">
        <v>44</v>
      </c>
      <c r="Q3" s="157" t="s">
        <v>32</v>
      </c>
      <c r="R3" s="153" t="s">
        <v>79</v>
      </c>
      <c r="S3" s="154" t="s">
        <v>80</v>
      </c>
      <c r="T3" s="113" t="s">
        <v>8</v>
      </c>
    </row>
    <row r="4" spans="1:20" s="114" customFormat="1" ht="72.75" customHeight="1" thickBot="1">
      <c r="A4" s="115"/>
      <c r="B4" s="115"/>
      <c r="C4" s="156"/>
      <c r="D4" s="156"/>
      <c r="E4" s="156"/>
      <c r="F4" s="160"/>
      <c r="G4" s="156"/>
      <c r="H4" s="158"/>
      <c r="I4" s="158"/>
      <c r="J4" s="116"/>
      <c r="K4" s="117" t="s">
        <v>68</v>
      </c>
      <c r="L4" s="117" t="s">
        <v>69</v>
      </c>
      <c r="M4" s="117" t="s">
        <v>70</v>
      </c>
      <c r="N4" s="161"/>
      <c r="O4" s="163"/>
      <c r="P4" s="116"/>
      <c r="Q4" s="158"/>
      <c r="R4" s="153"/>
      <c r="S4" s="154"/>
      <c r="T4" s="113"/>
    </row>
    <row r="5" spans="1:20" ht="31.9" customHeight="1">
      <c r="A5" s="38" t="s">
        <v>87</v>
      </c>
      <c r="B5" s="39" t="s">
        <v>9</v>
      </c>
      <c r="C5" s="51"/>
      <c r="D5" s="51">
        <v>65</v>
      </c>
      <c r="E5" s="51">
        <f>SUM(D5*5/100)</f>
        <v>3.25</v>
      </c>
      <c r="F5" s="51">
        <f>SUM(D5-E5)</f>
        <v>61.75</v>
      </c>
      <c r="G5" s="52">
        <v>15344</v>
      </c>
      <c r="H5" s="51">
        <f t="shared" ref="H5:H18" si="0">SUM(G5/100)</f>
        <v>153.44</v>
      </c>
      <c r="I5" s="53">
        <f t="shared" ref="I5:I17" si="1">SUM(H5*F5)</f>
        <v>9474.92</v>
      </c>
      <c r="J5" s="54"/>
      <c r="K5" s="55">
        <v>33353.43</v>
      </c>
      <c r="L5" s="56">
        <f t="shared" ref="L5:L18" si="2">SUM(K5/1.3)</f>
        <v>25656.484615384616</v>
      </c>
      <c r="M5" s="56">
        <f t="shared" ref="M5:M18" si="3">SUM(K5-L5)</f>
        <v>7696.9453846153847</v>
      </c>
      <c r="N5" s="57"/>
      <c r="O5" s="57"/>
      <c r="P5" s="57">
        <v>500</v>
      </c>
      <c r="Q5" s="57">
        <v>0</v>
      </c>
      <c r="R5" s="56">
        <f>SUM(K5*15%)</f>
        <v>5003.0145000000002</v>
      </c>
      <c r="S5" s="57"/>
      <c r="T5" s="58">
        <f>SUM(I5+J5+K5+N5+O5+P5+Q5+R5+S5)</f>
        <v>48331.364499999996</v>
      </c>
    </row>
    <row r="6" spans="1:20" s="3" customFormat="1" ht="31.9" customHeight="1">
      <c r="A6" s="39" t="s">
        <v>99</v>
      </c>
      <c r="B6" s="39" t="s">
        <v>134</v>
      </c>
      <c r="C6" s="51"/>
      <c r="D6" s="51">
        <v>48</v>
      </c>
      <c r="E6" s="51">
        <f t="shared" ref="E6:E18" si="4">SUM(D6*5/100)</f>
        <v>2.4</v>
      </c>
      <c r="F6" s="51">
        <f t="shared" ref="F6:F18" si="5">SUM(D6-E6)</f>
        <v>45.6</v>
      </c>
      <c r="G6" s="52">
        <v>14004</v>
      </c>
      <c r="H6" s="51">
        <f t="shared" si="0"/>
        <v>140.04</v>
      </c>
      <c r="I6" s="53">
        <f t="shared" si="1"/>
        <v>6385.8239999999996</v>
      </c>
      <c r="J6" s="54"/>
      <c r="K6" s="55">
        <v>32804.93</v>
      </c>
      <c r="L6" s="56">
        <f t="shared" si="2"/>
        <v>25234.561538461538</v>
      </c>
      <c r="M6" s="56">
        <f t="shared" si="3"/>
        <v>7570.3684615384627</v>
      </c>
      <c r="N6" s="57"/>
      <c r="O6" s="57"/>
      <c r="P6" s="57">
        <v>500</v>
      </c>
      <c r="Q6" s="57"/>
      <c r="R6" s="56">
        <f>SUM(K6*15%)</f>
        <v>4920.7394999999997</v>
      </c>
      <c r="S6" s="57"/>
      <c r="T6" s="58">
        <f>SUM(I6+J6+K6+N6+O6+P6+Q6+R6+S6)</f>
        <v>44611.493499999997</v>
      </c>
    </row>
    <row r="7" spans="1:20" s="3" customFormat="1" ht="31.9" customHeight="1">
      <c r="A7" s="39" t="s">
        <v>88</v>
      </c>
      <c r="B7" s="39" t="s">
        <v>10</v>
      </c>
      <c r="C7" s="51"/>
      <c r="D7" s="51">
        <v>53</v>
      </c>
      <c r="E7" s="51">
        <f t="shared" si="4"/>
        <v>2.65</v>
      </c>
      <c r="F7" s="51">
        <f t="shared" si="5"/>
        <v>50.35</v>
      </c>
      <c r="G7" s="52">
        <v>3228</v>
      </c>
      <c r="H7" s="51">
        <f t="shared" si="0"/>
        <v>32.28</v>
      </c>
      <c r="I7" s="53">
        <f t="shared" si="1"/>
        <v>1625.298</v>
      </c>
      <c r="J7" s="54"/>
      <c r="K7" s="55">
        <v>23646.11</v>
      </c>
      <c r="L7" s="56">
        <f t="shared" si="2"/>
        <v>18189.315384615384</v>
      </c>
      <c r="M7" s="56">
        <f t="shared" si="3"/>
        <v>5456.7946153846169</v>
      </c>
      <c r="N7" s="57"/>
      <c r="O7" s="57"/>
      <c r="P7" s="57">
        <v>500</v>
      </c>
      <c r="Q7" s="57">
        <v>0</v>
      </c>
      <c r="R7" s="56"/>
      <c r="S7" s="57"/>
      <c r="T7" s="58">
        <f t="shared" ref="T7:T15" si="6">SUM(I7+J7+K7+N7+O7+P7+Q7+R7+S7)</f>
        <v>25771.407999999999</v>
      </c>
    </row>
    <row r="8" spans="1:20" s="3" customFormat="1" ht="31.9" customHeight="1">
      <c r="A8" s="39" t="s">
        <v>89</v>
      </c>
      <c r="B8" s="39" t="s">
        <v>135</v>
      </c>
      <c r="C8" s="51"/>
      <c r="D8" s="51">
        <v>53</v>
      </c>
      <c r="E8" s="51">
        <f t="shared" si="4"/>
        <v>2.65</v>
      </c>
      <c r="F8" s="51">
        <f t="shared" si="5"/>
        <v>50.35</v>
      </c>
      <c r="G8" s="52">
        <v>3895</v>
      </c>
      <c r="H8" s="51">
        <f t="shared" si="0"/>
        <v>38.950000000000003</v>
      </c>
      <c r="I8" s="53">
        <f t="shared" si="1"/>
        <v>1961.1325000000002</v>
      </c>
      <c r="J8" s="54"/>
      <c r="K8" s="55">
        <v>25542.01</v>
      </c>
      <c r="L8" s="56">
        <f t="shared" si="2"/>
        <v>19647.699999999997</v>
      </c>
      <c r="M8" s="56">
        <f t="shared" si="3"/>
        <v>5894.3100000000013</v>
      </c>
      <c r="N8" s="57"/>
      <c r="O8" s="57"/>
      <c r="P8" s="57">
        <v>500</v>
      </c>
      <c r="Q8" s="57"/>
      <c r="R8" s="56"/>
      <c r="S8" s="57"/>
      <c r="T8" s="58">
        <f t="shared" si="6"/>
        <v>28003.142499999998</v>
      </c>
    </row>
    <row r="9" spans="1:20" ht="31.9" customHeight="1">
      <c r="A9" s="38" t="s">
        <v>90</v>
      </c>
      <c r="B9" s="39" t="s">
        <v>11</v>
      </c>
      <c r="C9" s="51"/>
      <c r="D9" s="51">
        <v>43</v>
      </c>
      <c r="E9" s="51">
        <f t="shared" si="4"/>
        <v>2.15</v>
      </c>
      <c r="F9" s="51">
        <f t="shared" si="5"/>
        <v>40.85</v>
      </c>
      <c r="G9" s="52">
        <v>3738</v>
      </c>
      <c r="H9" s="51">
        <f t="shared" si="0"/>
        <v>37.380000000000003</v>
      </c>
      <c r="I9" s="53">
        <f t="shared" si="1"/>
        <v>1526.9730000000002</v>
      </c>
      <c r="J9" s="54"/>
      <c r="K9" s="55">
        <v>33518.61</v>
      </c>
      <c r="L9" s="56">
        <f t="shared" si="2"/>
        <v>25783.546153846153</v>
      </c>
      <c r="M9" s="56">
        <f t="shared" si="3"/>
        <v>7735.0638461538474</v>
      </c>
      <c r="N9" s="57"/>
      <c r="O9" s="57"/>
      <c r="P9" s="57">
        <f>500</f>
        <v>500</v>
      </c>
      <c r="Q9" s="57">
        <v>0</v>
      </c>
      <c r="R9" s="56"/>
      <c r="S9" s="57"/>
      <c r="T9" s="58">
        <f t="shared" si="6"/>
        <v>35545.582999999999</v>
      </c>
    </row>
    <row r="10" spans="1:20" ht="31.9" customHeight="1">
      <c r="A10" s="38" t="s">
        <v>121</v>
      </c>
      <c r="B10" s="39" t="s">
        <v>124</v>
      </c>
      <c r="C10" s="51"/>
      <c r="D10" s="51">
        <v>40</v>
      </c>
      <c r="E10" s="51">
        <f t="shared" si="4"/>
        <v>2</v>
      </c>
      <c r="F10" s="51">
        <f t="shared" si="5"/>
        <v>38</v>
      </c>
      <c r="G10" s="52">
        <v>4190</v>
      </c>
      <c r="H10" s="51">
        <f t="shared" si="0"/>
        <v>41.9</v>
      </c>
      <c r="I10" s="53">
        <f t="shared" si="1"/>
        <v>1592.2</v>
      </c>
      <c r="J10" s="54"/>
      <c r="K10" s="55">
        <v>28591.18</v>
      </c>
      <c r="L10" s="56">
        <f t="shared" si="2"/>
        <v>21993.215384615385</v>
      </c>
      <c r="M10" s="56">
        <f t="shared" si="3"/>
        <v>6597.9646153846152</v>
      </c>
      <c r="N10" s="56"/>
      <c r="O10" s="57"/>
      <c r="P10" s="57">
        <v>500</v>
      </c>
      <c r="Q10" s="57"/>
      <c r="R10" s="56"/>
      <c r="S10" s="57"/>
      <c r="T10" s="58">
        <f t="shared" si="6"/>
        <v>30683.38</v>
      </c>
    </row>
    <row r="11" spans="1:20" ht="31.9" customHeight="1">
      <c r="A11" s="38" t="s">
        <v>91</v>
      </c>
      <c r="B11" s="39" t="s">
        <v>37</v>
      </c>
      <c r="C11" s="51"/>
      <c r="D11" s="51">
        <v>59</v>
      </c>
      <c r="E11" s="51">
        <f t="shared" si="4"/>
        <v>2.95</v>
      </c>
      <c r="F11" s="51">
        <f t="shared" si="5"/>
        <v>56.05</v>
      </c>
      <c r="G11" s="52">
        <v>4239</v>
      </c>
      <c r="H11" s="51">
        <f>SUM(G11/100)</f>
        <v>42.39</v>
      </c>
      <c r="I11" s="53">
        <f>SUM(H11*F11)</f>
        <v>2375.9594999999999</v>
      </c>
      <c r="J11" s="54"/>
      <c r="K11" s="55">
        <v>30545.040000000001</v>
      </c>
      <c r="L11" s="56">
        <f t="shared" si="2"/>
        <v>23496.184615384616</v>
      </c>
      <c r="M11" s="56">
        <f t="shared" si="3"/>
        <v>7048.8553846153845</v>
      </c>
      <c r="N11" s="56">
        <f>SUM(K11*10%)</f>
        <v>3054.5040000000004</v>
      </c>
      <c r="O11" s="57"/>
      <c r="P11" s="57">
        <f>500</f>
        <v>500</v>
      </c>
      <c r="Q11" s="57">
        <v>0</v>
      </c>
      <c r="R11" s="56"/>
      <c r="S11" s="57"/>
      <c r="T11" s="58">
        <f>SUM(I11+J11+K11+N11+O11+P11+Q11+R11+S11)</f>
        <v>36475.503499999999</v>
      </c>
    </row>
    <row r="12" spans="1:20" ht="31.9" customHeight="1">
      <c r="A12" s="38" t="s">
        <v>92</v>
      </c>
      <c r="B12" s="39" t="s">
        <v>12</v>
      </c>
      <c r="C12" s="51"/>
      <c r="D12" s="51">
        <v>45</v>
      </c>
      <c r="E12" s="51">
        <f t="shared" si="4"/>
        <v>2.25</v>
      </c>
      <c r="F12" s="51">
        <f t="shared" si="5"/>
        <v>42.75</v>
      </c>
      <c r="G12" s="52">
        <v>2847</v>
      </c>
      <c r="H12" s="51">
        <f t="shared" si="0"/>
        <v>28.47</v>
      </c>
      <c r="I12" s="53">
        <f t="shared" si="1"/>
        <v>1217.0925</v>
      </c>
      <c r="J12" s="54"/>
      <c r="K12" s="55">
        <v>31375.17</v>
      </c>
      <c r="L12" s="56">
        <f t="shared" si="2"/>
        <v>24134.74615384615</v>
      </c>
      <c r="M12" s="56">
        <f t="shared" si="3"/>
        <v>7240.423846153848</v>
      </c>
      <c r="N12" s="56"/>
      <c r="O12" s="57"/>
      <c r="P12" s="57">
        <f>500</f>
        <v>500</v>
      </c>
      <c r="Q12" s="57">
        <v>0</v>
      </c>
      <c r="R12" s="56"/>
      <c r="S12" s="57"/>
      <c r="T12" s="58">
        <f t="shared" si="6"/>
        <v>33092.262499999997</v>
      </c>
    </row>
    <row r="13" spans="1:20" ht="31.9" customHeight="1">
      <c r="A13" s="107" t="s">
        <v>93</v>
      </c>
      <c r="B13" s="39" t="s">
        <v>13</v>
      </c>
      <c r="C13" s="51"/>
      <c r="D13" s="51">
        <v>54</v>
      </c>
      <c r="E13" s="51">
        <f t="shared" si="4"/>
        <v>2.7</v>
      </c>
      <c r="F13" s="51">
        <f t="shared" si="5"/>
        <v>51.3</v>
      </c>
      <c r="G13" s="52">
        <v>27350</v>
      </c>
      <c r="H13" s="51">
        <f t="shared" si="0"/>
        <v>273.5</v>
      </c>
      <c r="I13" s="56">
        <f t="shared" si="1"/>
        <v>14030.55</v>
      </c>
      <c r="J13" s="59"/>
      <c r="K13" s="60">
        <v>35586.14</v>
      </c>
      <c r="L13" s="56">
        <f t="shared" si="2"/>
        <v>27373.953846153843</v>
      </c>
      <c r="M13" s="56">
        <f t="shared" si="3"/>
        <v>8212.1861538461562</v>
      </c>
      <c r="N13" s="56">
        <f>SUM(K13*10%)</f>
        <v>3558.614</v>
      </c>
      <c r="O13" s="57"/>
      <c r="P13" s="57">
        <v>500</v>
      </c>
      <c r="Q13" s="57">
        <v>0</v>
      </c>
      <c r="R13" s="56">
        <f>SUM(K13*15%)</f>
        <v>5337.9209999999994</v>
      </c>
      <c r="S13" s="57"/>
      <c r="T13" s="58">
        <f>SUM(I13+J13+K13+N13+O13+P13+Q13+R13+S13)-0.01</f>
        <v>59013.215000000004</v>
      </c>
    </row>
    <row r="14" spans="1:20" ht="31.9" customHeight="1">
      <c r="A14" s="107" t="s">
        <v>94</v>
      </c>
      <c r="B14" s="39" t="s">
        <v>72</v>
      </c>
      <c r="C14" s="51"/>
      <c r="D14" s="51">
        <v>33</v>
      </c>
      <c r="E14" s="51">
        <f t="shared" si="4"/>
        <v>1.65</v>
      </c>
      <c r="F14" s="51">
        <f t="shared" si="5"/>
        <v>31.35</v>
      </c>
      <c r="G14" s="52">
        <v>3449</v>
      </c>
      <c r="H14" s="51">
        <f t="shared" si="0"/>
        <v>34.49</v>
      </c>
      <c r="I14" s="53">
        <f t="shared" si="1"/>
        <v>1081.2615000000001</v>
      </c>
      <c r="J14" s="54"/>
      <c r="K14" s="55">
        <v>28817.58</v>
      </c>
      <c r="L14" s="56">
        <f t="shared" si="2"/>
        <v>22167.369230769233</v>
      </c>
      <c r="M14" s="56">
        <f t="shared" si="3"/>
        <v>6650.2107692307691</v>
      </c>
      <c r="N14" s="56"/>
      <c r="O14" s="57"/>
      <c r="P14" s="57">
        <v>500</v>
      </c>
      <c r="Q14" s="57">
        <v>0</v>
      </c>
      <c r="R14" s="56"/>
      <c r="S14" s="57"/>
      <c r="T14" s="58">
        <f t="shared" si="6"/>
        <v>30398.841500000002</v>
      </c>
    </row>
    <row r="15" spans="1:20" ht="31.9" customHeight="1" thickBot="1">
      <c r="A15" s="108" t="s">
        <v>126</v>
      </c>
      <c r="B15" s="46" t="s">
        <v>14</v>
      </c>
      <c r="C15" s="61"/>
      <c r="D15" s="61">
        <v>54</v>
      </c>
      <c r="E15" s="51">
        <f t="shared" si="4"/>
        <v>2.7</v>
      </c>
      <c r="F15" s="51">
        <f t="shared" si="5"/>
        <v>51.3</v>
      </c>
      <c r="G15" s="61">
        <v>4044</v>
      </c>
      <c r="H15" s="61">
        <f t="shared" si="0"/>
        <v>40.44</v>
      </c>
      <c r="I15" s="62">
        <f t="shared" si="1"/>
        <v>2074.5719999999997</v>
      </c>
      <c r="J15" s="63"/>
      <c r="K15" s="64">
        <v>29096.51</v>
      </c>
      <c r="L15" s="56">
        <f t="shared" si="2"/>
        <v>22381.930769230767</v>
      </c>
      <c r="M15" s="56">
        <f t="shared" si="3"/>
        <v>6714.5792307692318</v>
      </c>
      <c r="N15" s="65"/>
      <c r="O15" s="66"/>
      <c r="P15" s="57">
        <v>500</v>
      </c>
      <c r="Q15" s="63">
        <v>0</v>
      </c>
      <c r="R15" s="67"/>
      <c r="S15" s="68"/>
      <c r="T15" s="58">
        <f t="shared" si="6"/>
        <v>31671.081999999999</v>
      </c>
    </row>
    <row r="16" spans="1:20" ht="34.5" customHeight="1">
      <c r="A16" s="109" t="s">
        <v>127</v>
      </c>
      <c r="B16" s="40" t="s">
        <v>82</v>
      </c>
      <c r="C16" s="51"/>
      <c r="D16" s="51">
        <v>59</v>
      </c>
      <c r="E16" s="51">
        <f t="shared" si="4"/>
        <v>2.95</v>
      </c>
      <c r="F16" s="51">
        <f t="shared" si="5"/>
        <v>56.05</v>
      </c>
      <c r="G16" s="51">
        <v>29812</v>
      </c>
      <c r="H16" s="51">
        <f t="shared" si="0"/>
        <v>298.12</v>
      </c>
      <c r="I16" s="53">
        <f>SUM(H16*F16)</f>
        <v>16709.626</v>
      </c>
      <c r="J16" s="57"/>
      <c r="K16" s="56">
        <v>41912.42</v>
      </c>
      <c r="L16" s="56">
        <f t="shared" si="2"/>
        <v>32240.323076923076</v>
      </c>
      <c r="M16" s="56">
        <f t="shared" si="3"/>
        <v>9672.0969230769224</v>
      </c>
      <c r="N16" s="56">
        <f>SUM(K16*10%)</f>
        <v>4191.2420000000002</v>
      </c>
      <c r="O16" s="57"/>
      <c r="P16" s="57">
        <v>0</v>
      </c>
      <c r="Q16" s="57">
        <v>0</v>
      </c>
      <c r="R16" s="56"/>
      <c r="S16" s="57">
        <f>SUM(K16*20%)</f>
        <v>8382.4840000000004</v>
      </c>
      <c r="T16" s="58">
        <f>SUM(I16+J16+K16+N16+O16+P16+Q16+R16+S16)</f>
        <v>71195.771999999997</v>
      </c>
    </row>
    <row r="17" spans="1:21" s="3" customFormat="1" ht="31.9" customHeight="1">
      <c r="A17" s="44" t="s">
        <v>128</v>
      </c>
      <c r="B17" s="44" t="s">
        <v>98</v>
      </c>
      <c r="C17" s="51"/>
      <c r="D17" s="51">
        <v>72</v>
      </c>
      <c r="E17" s="51">
        <f t="shared" si="4"/>
        <v>3.6</v>
      </c>
      <c r="F17" s="51">
        <f t="shared" si="5"/>
        <v>68.400000000000006</v>
      </c>
      <c r="G17" s="52">
        <v>27838</v>
      </c>
      <c r="H17" s="51">
        <f t="shared" si="0"/>
        <v>278.38</v>
      </c>
      <c r="I17" s="53">
        <f t="shared" si="1"/>
        <v>19041.192000000003</v>
      </c>
      <c r="J17" s="54"/>
      <c r="K17" s="55">
        <v>40764.39</v>
      </c>
      <c r="L17" s="56">
        <f t="shared" si="2"/>
        <v>31357.223076923074</v>
      </c>
      <c r="M17" s="56">
        <f t="shared" si="3"/>
        <v>9407.1669230769257</v>
      </c>
      <c r="N17" s="57"/>
      <c r="O17" s="57"/>
      <c r="P17" s="57">
        <v>0</v>
      </c>
      <c r="Q17" s="57">
        <v>0</v>
      </c>
      <c r="R17" s="57"/>
      <c r="S17" s="56">
        <f>SUM(K17*20%)</f>
        <v>8152.8780000000006</v>
      </c>
      <c r="T17" s="58">
        <f>SUM(I17+J17+K17+N17+O17+P17+Q17+R17+S17)</f>
        <v>67958.460000000006</v>
      </c>
      <c r="U17"/>
    </row>
    <row r="18" spans="1:21" ht="31.9" customHeight="1">
      <c r="A18" s="44" t="s">
        <v>129</v>
      </c>
      <c r="B18" s="39" t="s">
        <v>125</v>
      </c>
      <c r="C18" s="51"/>
      <c r="D18" s="51">
        <v>81</v>
      </c>
      <c r="E18" s="51">
        <f t="shared" si="4"/>
        <v>4.05</v>
      </c>
      <c r="F18" s="51">
        <f t="shared" si="5"/>
        <v>76.95</v>
      </c>
      <c r="G18" s="69">
        <v>31936</v>
      </c>
      <c r="H18" s="51">
        <f t="shared" si="0"/>
        <v>319.36</v>
      </c>
      <c r="I18" s="53">
        <f>SUM(H18*F18)</f>
        <v>24574.752</v>
      </c>
      <c r="J18" s="54"/>
      <c r="K18" s="55">
        <v>41353.83</v>
      </c>
      <c r="L18" s="56">
        <f t="shared" si="2"/>
        <v>31810.638461538463</v>
      </c>
      <c r="M18" s="56">
        <f t="shared" si="3"/>
        <v>9543.1915384615386</v>
      </c>
      <c r="N18" s="57"/>
      <c r="O18" s="57"/>
      <c r="P18" s="57"/>
      <c r="Q18" s="57"/>
      <c r="R18" s="57"/>
      <c r="S18" s="56">
        <f>SUM(K18*20%)-909.52</f>
        <v>7361.246000000001</v>
      </c>
      <c r="T18" s="58">
        <f>SUM(I18+J18+K18+N18+O18+P18+Q18+R18+S18)</f>
        <v>73289.827999999994</v>
      </c>
    </row>
    <row r="19" spans="1:2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</sheetData>
  <mergeCells count="13">
    <mergeCell ref="R3:R4"/>
    <mergeCell ref="S3:S4"/>
    <mergeCell ref="G3:G4"/>
    <mergeCell ref="H3:H4"/>
    <mergeCell ref="C3:C4"/>
    <mergeCell ref="D3:D4"/>
    <mergeCell ref="E3:E4"/>
    <mergeCell ref="F3:F4"/>
    <mergeCell ref="I3:I4"/>
    <mergeCell ref="K3:M3"/>
    <mergeCell ref="N3:N4"/>
    <mergeCell ref="O3:O4"/>
    <mergeCell ref="Q3:Q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U22"/>
  <sheetViews>
    <sheetView view="pageBreakPreview" zoomScale="85" zoomScaleNormal="75" zoomScaleSheetLayoutView="85"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A21" sqref="A21:XFD31"/>
    </sheetView>
  </sheetViews>
  <sheetFormatPr defaultRowHeight="15"/>
  <cols>
    <col min="1" max="1" width="36.28515625" customWidth="1"/>
    <col min="2" max="2" width="22.85546875" customWidth="1"/>
    <col min="3" max="3" width="11.28515625" customWidth="1"/>
    <col min="4" max="5" width="8.85546875" customWidth="1"/>
    <col min="6" max="6" width="7.85546875" customWidth="1"/>
    <col min="7" max="7" width="10.85546875" customWidth="1"/>
    <col min="8" max="8" width="8.140625" customWidth="1"/>
    <col min="9" max="9" width="12" customWidth="1"/>
    <col min="10" max="12" width="7.42578125" customWidth="1"/>
    <col min="13" max="13" width="8.7109375" customWidth="1"/>
    <col min="14" max="14" width="11.140625" customWidth="1"/>
    <col min="15" max="15" width="13.140625" customWidth="1"/>
    <col min="16" max="16" width="13.42578125" customWidth="1"/>
    <col min="17" max="17" width="10.140625" customWidth="1"/>
    <col min="18" max="18" width="9.140625" customWidth="1"/>
    <col min="19" max="19" width="11.5703125" customWidth="1"/>
    <col min="20" max="21" width="12.28515625" customWidth="1"/>
    <col min="22" max="22" width="8.85546875" customWidth="1"/>
  </cols>
  <sheetData>
    <row r="2" spans="1:21" ht="55.5" customHeight="1" thickBot="1">
      <c r="A2" s="1" t="s">
        <v>133</v>
      </c>
      <c r="B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hidden="1" customHeight="1" thickBot="1">
      <c r="A3" t="s">
        <v>2</v>
      </c>
    </row>
    <row r="4" spans="1:21" s="114" customFormat="1" ht="54" customHeight="1">
      <c r="A4" s="119" t="s">
        <v>0</v>
      </c>
      <c r="B4" s="119" t="s">
        <v>1</v>
      </c>
      <c r="C4" s="155" t="s">
        <v>95</v>
      </c>
      <c r="D4" s="155" t="s">
        <v>96</v>
      </c>
      <c r="E4" s="155" t="s">
        <v>117</v>
      </c>
      <c r="F4" s="159" t="s">
        <v>131</v>
      </c>
      <c r="G4" s="120" t="s">
        <v>5</v>
      </c>
      <c r="H4" s="112" t="s">
        <v>6</v>
      </c>
      <c r="I4" s="112" t="s">
        <v>7</v>
      </c>
      <c r="J4" s="112" t="s">
        <v>31</v>
      </c>
      <c r="K4" s="112" t="s">
        <v>40</v>
      </c>
      <c r="L4" s="112" t="s">
        <v>41</v>
      </c>
      <c r="M4" s="111" t="s">
        <v>45</v>
      </c>
      <c r="N4" s="161" t="s">
        <v>67</v>
      </c>
      <c r="O4" s="161"/>
      <c r="P4" s="161"/>
      <c r="Q4" s="161" t="s">
        <v>71</v>
      </c>
      <c r="R4" s="164" t="s">
        <v>32</v>
      </c>
      <c r="S4" s="153" t="s">
        <v>79</v>
      </c>
      <c r="T4" s="153" t="s">
        <v>80</v>
      </c>
      <c r="U4" s="113" t="s">
        <v>8</v>
      </c>
    </row>
    <row r="5" spans="1:21" s="114" customFormat="1" ht="45" customHeight="1" thickBot="1">
      <c r="A5" s="121"/>
      <c r="B5" s="121"/>
      <c r="C5" s="156"/>
      <c r="D5" s="156"/>
      <c r="E5" s="156"/>
      <c r="F5" s="160"/>
      <c r="G5" s="122"/>
      <c r="H5" s="122"/>
      <c r="I5" s="122"/>
      <c r="J5" s="116"/>
      <c r="K5" s="116"/>
      <c r="L5" s="116"/>
      <c r="M5" s="116"/>
      <c r="N5" s="117" t="s">
        <v>68</v>
      </c>
      <c r="O5" s="117" t="s">
        <v>69</v>
      </c>
      <c r="P5" s="117" t="s">
        <v>70</v>
      </c>
      <c r="Q5" s="161"/>
      <c r="R5" s="165"/>
      <c r="S5" s="153"/>
      <c r="T5" s="153"/>
      <c r="U5" s="113"/>
    </row>
    <row r="6" spans="1:21" ht="29.45" customHeight="1">
      <c r="A6" s="16" t="s">
        <v>100</v>
      </c>
      <c r="B6" s="52" t="s">
        <v>118</v>
      </c>
      <c r="C6" s="51"/>
      <c r="D6" s="51">
        <v>40</v>
      </c>
      <c r="E6" s="51"/>
      <c r="F6" s="51">
        <f>SUM(D6-E6)</f>
        <v>40</v>
      </c>
      <c r="G6" s="52">
        <v>19245</v>
      </c>
      <c r="H6" s="51">
        <f>SUM(G6/100)</f>
        <v>192.45</v>
      </c>
      <c r="I6" s="53">
        <f>SUM(H6*F6)</f>
        <v>7698</v>
      </c>
      <c r="J6" s="54"/>
      <c r="K6" s="54"/>
      <c r="L6" s="54"/>
      <c r="M6" s="54">
        <v>500</v>
      </c>
      <c r="N6" s="55">
        <v>31665.599999999999</v>
      </c>
      <c r="O6" s="56">
        <f>SUM(N6/1.3)</f>
        <v>24358.153846153844</v>
      </c>
      <c r="P6" s="56">
        <f>SUM(N6-O6)</f>
        <v>7307.4461538461546</v>
      </c>
      <c r="Q6" s="56"/>
      <c r="R6" s="57">
        <v>0</v>
      </c>
      <c r="S6" s="67"/>
      <c r="T6" s="67"/>
      <c r="U6" s="70">
        <f>SUM(I6+J6+K6+L6+M6+N6+Q6+R6+S6+T6)</f>
        <v>39863.599999999999</v>
      </c>
    </row>
    <row r="7" spans="1:21" ht="29.45" customHeight="1">
      <c r="A7" s="16" t="s">
        <v>101</v>
      </c>
      <c r="B7" s="52" t="s">
        <v>119</v>
      </c>
      <c r="C7" s="51"/>
      <c r="D7" s="51">
        <v>39</v>
      </c>
      <c r="E7" s="51"/>
      <c r="F7" s="51">
        <f t="shared" ref="F7:F20" si="0">SUM(D7-E7)</f>
        <v>39</v>
      </c>
      <c r="G7" s="52">
        <v>11707</v>
      </c>
      <c r="H7" s="51">
        <f t="shared" ref="H7:H20" si="1">SUM(G7/100)</f>
        <v>117.07</v>
      </c>
      <c r="I7" s="53">
        <f t="shared" ref="I7:I20" si="2">SUM(H7*F7)</f>
        <v>4565.7299999999996</v>
      </c>
      <c r="J7" s="54"/>
      <c r="K7" s="54"/>
      <c r="L7" s="54">
        <v>800</v>
      </c>
      <c r="M7" s="54">
        <v>500</v>
      </c>
      <c r="N7" s="55">
        <v>33442.1</v>
      </c>
      <c r="O7" s="56">
        <f t="shared" ref="O7:O20" si="3">SUM(N7/1.3)</f>
        <v>25724.692307692305</v>
      </c>
      <c r="P7" s="56">
        <f t="shared" ref="P7:P20" si="4">SUM(N7-O7)</f>
        <v>7717.4076923076937</v>
      </c>
      <c r="Q7" s="56"/>
      <c r="R7" s="57">
        <v>0</v>
      </c>
      <c r="S7" s="67"/>
      <c r="T7" s="67"/>
      <c r="U7" s="70">
        <f>SUM(I7+J7+K7+L7+M7+N7+Q7+R7+S7+T7)</f>
        <v>39307.83</v>
      </c>
    </row>
    <row r="8" spans="1:21" ht="29.45" customHeight="1">
      <c r="A8" s="16" t="s">
        <v>136</v>
      </c>
      <c r="B8" s="52" t="s">
        <v>115</v>
      </c>
      <c r="C8" s="51"/>
      <c r="D8" s="51">
        <v>39</v>
      </c>
      <c r="E8" s="51">
        <f>SUM(D8*5/100)</f>
        <v>1.95</v>
      </c>
      <c r="F8" s="51">
        <f t="shared" si="0"/>
        <v>37.049999999999997</v>
      </c>
      <c r="G8" s="52">
        <v>24676</v>
      </c>
      <c r="H8" s="51">
        <f t="shared" si="1"/>
        <v>246.76</v>
      </c>
      <c r="I8" s="53">
        <f t="shared" si="2"/>
        <v>9142.4579999999987</v>
      </c>
      <c r="J8" s="54"/>
      <c r="K8" s="54">
        <v>800</v>
      </c>
      <c r="L8" s="54">
        <v>500</v>
      </c>
      <c r="M8" s="54">
        <v>500</v>
      </c>
      <c r="N8" s="55">
        <v>43232.75</v>
      </c>
      <c r="O8" s="56">
        <f t="shared" si="3"/>
        <v>33255.961538461539</v>
      </c>
      <c r="P8" s="56">
        <f t="shared" si="4"/>
        <v>9976.788461538461</v>
      </c>
      <c r="Q8" s="56"/>
      <c r="R8" s="57">
        <v>0</v>
      </c>
      <c r="S8" s="67"/>
      <c r="T8" s="74">
        <f>SUM(N8*20%)</f>
        <v>8646.5500000000011</v>
      </c>
      <c r="U8" s="70">
        <f>SUM(I8+J8+K8+L8+M8+N8+Q8+R8+S8+T8)</f>
        <v>62821.758000000002</v>
      </c>
    </row>
    <row r="9" spans="1:21" ht="29.45" customHeight="1">
      <c r="A9" s="16" t="s">
        <v>137</v>
      </c>
      <c r="B9" s="59" t="s">
        <v>77</v>
      </c>
      <c r="C9" s="51"/>
      <c r="D9" s="51">
        <v>50</v>
      </c>
      <c r="E9" s="51">
        <f>SUM(D9*5/100)</f>
        <v>2.5</v>
      </c>
      <c r="F9" s="51">
        <f t="shared" si="0"/>
        <v>47.5</v>
      </c>
      <c r="G9" s="52">
        <v>22038</v>
      </c>
      <c r="H9" s="51">
        <f t="shared" si="1"/>
        <v>220.38</v>
      </c>
      <c r="I9" s="53">
        <f t="shared" si="2"/>
        <v>10468.049999999999</v>
      </c>
      <c r="J9" s="54"/>
      <c r="K9" s="54">
        <f>800</f>
        <v>800</v>
      </c>
      <c r="L9" s="54"/>
      <c r="M9" s="54">
        <v>500</v>
      </c>
      <c r="N9" s="55">
        <v>36046.04</v>
      </c>
      <c r="O9" s="56">
        <f t="shared" si="3"/>
        <v>27727.723076923077</v>
      </c>
      <c r="P9" s="56">
        <f t="shared" si="4"/>
        <v>8318.3169230769236</v>
      </c>
      <c r="Q9" s="56"/>
      <c r="R9" s="57">
        <v>0</v>
      </c>
      <c r="S9" s="67">
        <f>SUM(N9*15%)</f>
        <v>5406.9059999999999</v>
      </c>
      <c r="T9" s="67"/>
      <c r="U9" s="70">
        <f>SUM(I9+J9+K9+L9+M9+N9+Q9+R9+S9+T9)</f>
        <v>53220.995999999999</v>
      </c>
    </row>
    <row r="10" spans="1:21" ht="29.45" customHeight="1">
      <c r="A10" s="16" t="s">
        <v>102</v>
      </c>
      <c r="B10" s="52" t="s">
        <v>28</v>
      </c>
      <c r="C10" s="51"/>
      <c r="D10" s="51">
        <v>60</v>
      </c>
      <c r="E10" s="51">
        <f>SUM(D10*5/100)</f>
        <v>3</v>
      </c>
      <c r="F10" s="51">
        <f t="shared" si="0"/>
        <v>57</v>
      </c>
      <c r="G10" s="52">
        <v>15167</v>
      </c>
      <c r="H10" s="51">
        <f t="shared" si="1"/>
        <v>151.66999999999999</v>
      </c>
      <c r="I10" s="53">
        <f t="shared" si="2"/>
        <v>8645.1899999999987</v>
      </c>
      <c r="J10" s="54"/>
      <c r="K10" s="54">
        <v>800</v>
      </c>
      <c r="L10" s="54"/>
      <c r="M10" s="54">
        <v>500</v>
      </c>
      <c r="N10" s="55">
        <v>34292.67</v>
      </c>
      <c r="O10" s="56">
        <f t="shared" si="3"/>
        <v>26378.97692307692</v>
      </c>
      <c r="P10" s="56">
        <f t="shared" si="4"/>
        <v>7913.6930769230785</v>
      </c>
      <c r="Q10" s="56">
        <f>SUM(N10*10%)</f>
        <v>3429.2669999999998</v>
      </c>
      <c r="R10" s="57">
        <v>0</v>
      </c>
      <c r="S10" s="67"/>
      <c r="T10" s="67"/>
      <c r="U10" s="70">
        <f t="shared" ref="U10:U19" si="5">SUM(I10+J10+K10+L10+M10+N10+Q10+R10+S10+T10)</f>
        <v>47667.127</v>
      </c>
    </row>
    <row r="11" spans="1:21" ht="29.45" customHeight="1">
      <c r="A11" s="16" t="s">
        <v>103</v>
      </c>
      <c r="B11" s="52" t="s">
        <v>29</v>
      </c>
      <c r="C11" s="51"/>
      <c r="D11" s="51">
        <v>69</v>
      </c>
      <c r="E11" s="51"/>
      <c r="F11" s="51">
        <f t="shared" si="0"/>
        <v>69</v>
      </c>
      <c r="G11" s="52">
        <v>8429</v>
      </c>
      <c r="H11" s="51">
        <f t="shared" si="1"/>
        <v>84.29</v>
      </c>
      <c r="I11" s="53">
        <f t="shared" si="2"/>
        <v>5816.01</v>
      </c>
      <c r="J11" s="54"/>
      <c r="K11" s="54"/>
      <c r="L11" s="54"/>
      <c r="M11" s="54">
        <v>500</v>
      </c>
      <c r="N11" s="55">
        <v>31502.89</v>
      </c>
      <c r="O11" s="56">
        <f t="shared" si="3"/>
        <v>24232.992307692308</v>
      </c>
      <c r="P11" s="56">
        <f t="shared" si="4"/>
        <v>7269.8976923076916</v>
      </c>
      <c r="Q11" s="56"/>
      <c r="R11" s="57">
        <v>0</v>
      </c>
      <c r="S11" s="67"/>
      <c r="T11" s="67"/>
      <c r="U11" s="70">
        <f t="shared" si="5"/>
        <v>37818.9</v>
      </c>
    </row>
    <row r="12" spans="1:21" ht="29.45" customHeight="1">
      <c r="A12" s="16" t="s">
        <v>104</v>
      </c>
      <c r="B12" s="52" t="s">
        <v>74</v>
      </c>
      <c r="C12" s="51"/>
      <c r="D12" s="51">
        <v>65</v>
      </c>
      <c r="E12" s="51">
        <f t="shared" ref="E12:E20" si="6">SUM(D12*5/100)</f>
        <v>3.25</v>
      </c>
      <c r="F12" s="51">
        <f t="shared" si="0"/>
        <v>61.75</v>
      </c>
      <c r="G12" s="52">
        <v>13419</v>
      </c>
      <c r="H12" s="51">
        <f t="shared" si="1"/>
        <v>134.19</v>
      </c>
      <c r="I12" s="53">
        <f t="shared" si="2"/>
        <v>8286.2325000000001</v>
      </c>
      <c r="J12" s="54"/>
      <c r="K12" s="54">
        <v>800</v>
      </c>
      <c r="L12" s="54"/>
      <c r="M12" s="54">
        <v>500</v>
      </c>
      <c r="N12" s="55">
        <v>33513.74</v>
      </c>
      <c r="O12" s="56">
        <f t="shared" si="3"/>
        <v>25779.8</v>
      </c>
      <c r="P12" s="56">
        <f t="shared" si="4"/>
        <v>7733.9399999999987</v>
      </c>
      <c r="Q12" s="56"/>
      <c r="R12" s="57">
        <v>0</v>
      </c>
      <c r="S12" s="67"/>
      <c r="T12" s="67"/>
      <c r="U12" s="70">
        <f t="shared" si="5"/>
        <v>43099.972499999996</v>
      </c>
    </row>
    <row r="13" spans="1:21" ht="29.45" customHeight="1" thickBot="1">
      <c r="A13" s="7" t="s">
        <v>138</v>
      </c>
      <c r="B13" s="59" t="s">
        <v>123</v>
      </c>
      <c r="C13" s="59"/>
      <c r="D13" s="59">
        <v>60</v>
      </c>
      <c r="E13" s="51">
        <f t="shared" si="6"/>
        <v>3</v>
      </c>
      <c r="F13" s="51">
        <f t="shared" si="0"/>
        <v>57</v>
      </c>
      <c r="G13" s="59">
        <v>21628</v>
      </c>
      <c r="H13" s="51">
        <f t="shared" si="1"/>
        <v>216.28</v>
      </c>
      <c r="I13" s="53">
        <f t="shared" si="2"/>
        <v>12327.960000000001</v>
      </c>
      <c r="J13" s="59">
        <v>0</v>
      </c>
      <c r="K13" s="59">
        <v>800</v>
      </c>
      <c r="L13" s="59">
        <v>800</v>
      </c>
      <c r="M13" s="59">
        <v>500</v>
      </c>
      <c r="N13" s="67">
        <v>29216.6</v>
      </c>
      <c r="O13" s="56">
        <f t="shared" si="3"/>
        <v>22474.307692307691</v>
      </c>
      <c r="P13" s="56">
        <f t="shared" si="4"/>
        <v>6742.2923076923071</v>
      </c>
      <c r="Q13" s="67"/>
      <c r="R13" s="68">
        <v>0</v>
      </c>
      <c r="S13" s="67">
        <f>SUM(N13*15%)</f>
        <v>4382.49</v>
      </c>
      <c r="T13" s="67"/>
      <c r="U13" s="70">
        <f t="shared" si="5"/>
        <v>48027.049999999996</v>
      </c>
    </row>
    <row r="14" spans="1:21" ht="29.45" customHeight="1">
      <c r="A14" s="5" t="s">
        <v>105</v>
      </c>
      <c r="B14" s="51" t="s">
        <v>26</v>
      </c>
      <c r="C14" s="51"/>
      <c r="D14" s="71">
        <v>60</v>
      </c>
      <c r="E14" s="51">
        <f t="shared" si="6"/>
        <v>3</v>
      </c>
      <c r="F14" s="51">
        <f t="shared" si="0"/>
        <v>57</v>
      </c>
      <c r="G14" s="71">
        <v>46224</v>
      </c>
      <c r="H14" s="51">
        <f t="shared" si="1"/>
        <v>462.24</v>
      </c>
      <c r="I14" s="53">
        <f t="shared" si="2"/>
        <v>26347.68</v>
      </c>
      <c r="J14" s="72"/>
      <c r="K14" s="72">
        <v>800</v>
      </c>
      <c r="L14" s="72">
        <v>800</v>
      </c>
      <c r="M14" s="72">
        <v>0</v>
      </c>
      <c r="N14" s="56">
        <v>44030.29</v>
      </c>
      <c r="O14" s="56">
        <f t="shared" si="3"/>
        <v>33869.453846153847</v>
      </c>
      <c r="P14" s="56">
        <f t="shared" si="4"/>
        <v>10160.836153846154</v>
      </c>
      <c r="Q14" s="56">
        <f>SUM(N14*10%)</f>
        <v>4403.0290000000005</v>
      </c>
      <c r="R14" s="72">
        <v>0</v>
      </c>
      <c r="S14" s="73"/>
      <c r="T14" s="74">
        <f>SUM(N14*20%)</f>
        <v>8806.0580000000009</v>
      </c>
      <c r="U14" s="70">
        <f>SUM(I14+J14+K14+L14+M14+N14+Q14+R14+S14+T14)</f>
        <v>85187.057000000001</v>
      </c>
    </row>
    <row r="15" spans="1:21" ht="29.45" customHeight="1">
      <c r="A15" s="6" t="s">
        <v>106</v>
      </c>
      <c r="B15" s="52" t="s">
        <v>75</v>
      </c>
      <c r="C15" s="51"/>
      <c r="D15" s="51">
        <v>75</v>
      </c>
      <c r="E15" s="51">
        <f t="shared" si="6"/>
        <v>3.75</v>
      </c>
      <c r="F15" s="51">
        <f t="shared" si="0"/>
        <v>71.25</v>
      </c>
      <c r="G15" s="52">
        <v>47446</v>
      </c>
      <c r="H15" s="51">
        <f t="shared" si="1"/>
        <v>474.46</v>
      </c>
      <c r="I15" s="53">
        <f t="shared" si="2"/>
        <v>33805.275000000001</v>
      </c>
      <c r="J15" s="54">
        <v>0</v>
      </c>
      <c r="K15" s="54">
        <v>500</v>
      </c>
      <c r="L15" s="54">
        <v>800</v>
      </c>
      <c r="M15" s="54">
        <v>0</v>
      </c>
      <c r="N15" s="55">
        <v>52369.51</v>
      </c>
      <c r="O15" s="56">
        <f t="shared" si="3"/>
        <v>40284.238461538465</v>
      </c>
      <c r="P15" s="56">
        <f t="shared" si="4"/>
        <v>12085.271538461537</v>
      </c>
      <c r="Q15" s="56"/>
      <c r="R15" s="57">
        <v>0</v>
      </c>
      <c r="S15" s="67"/>
      <c r="T15" s="74">
        <f>SUM(N15*20%)</f>
        <v>10473.902000000002</v>
      </c>
      <c r="U15" s="70">
        <f t="shared" si="5"/>
        <v>97948.687000000005</v>
      </c>
    </row>
    <row r="16" spans="1:21" ht="29.45" customHeight="1">
      <c r="A16" s="4" t="s">
        <v>107</v>
      </c>
      <c r="B16" s="52" t="s">
        <v>97</v>
      </c>
      <c r="C16" s="51"/>
      <c r="D16" s="51">
        <v>49</v>
      </c>
      <c r="E16" s="51">
        <f t="shared" si="6"/>
        <v>2.4500000000000002</v>
      </c>
      <c r="F16" s="51">
        <f t="shared" si="0"/>
        <v>46.55</v>
      </c>
      <c r="G16" s="52">
        <v>21578</v>
      </c>
      <c r="H16" s="51">
        <f t="shared" si="1"/>
        <v>215.78</v>
      </c>
      <c r="I16" s="53">
        <f t="shared" si="2"/>
        <v>10044.558999999999</v>
      </c>
      <c r="J16" s="54"/>
      <c r="K16" s="54">
        <v>500</v>
      </c>
      <c r="L16" s="54">
        <v>500</v>
      </c>
      <c r="M16" s="54">
        <v>500</v>
      </c>
      <c r="N16" s="55">
        <v>39904.339999999997</v>
      </c>
      <c r="O16" s="56">
        <f t="shared" si="3"/>
        <v>30695.646153846152</v>
      </c>
      <c r="P16" s="56">
        <f t="shared" si="4"/>
        <v>9208.6938461538448</v>
      </c>
      <c r="Q16" s="56"/>
      <c r="R16" s="57">
        <v>0</v>
      </c>
      <c r="S16" s="67">
        <f>SUM(N16*15%)</f>
        <v>5985.6509999999989</v>
      </c>
      <c r="T16" s="67"/>
      <c r="U16" s="70">
        <f t="shared" si="5"/>
        <v>57434.549999999996</v>
      </c>
    </row>
    <row r="17" spans="1:21" ht="29.45" customHeight="1">
      <c r="A17" s="118" t="s">
        <v>108</v>
      </c>
      <c r="B17" s="59" t="s">
        <v>113</v>
      </c>
      <c r="C17" s="51"/>
      <c r="D17" s="51">
        <v>91</v>
      </c>
      <c r="E17" s="51">
        <f t="shared" si="6"/>
        <v>4.55</v>
      </c>
      <c r="F17" s="51">
        <f t="shared" si="0"/>
        <v>86.45</v>
      </c>
      <c r="G17" s="52">
        <v>36998</v>
      </c>
      <c r="H17" s="51">
        <f t="shared" si="1"/>
        <v>369.98</v>
      </c>
      <c r="I17" s="53">
        <f t="shared" si="2"/>
        <v>31984.771000000004</v>
      </c>
      <c r="J17" s="75"/>
      <c r="K17" s="54">
        <v>500</v>
      </c>
      <c r="L17" s="54">
        <f>800</f>
        <v>800</v>
      </c>
      <c r="M17" s="54">
        <v>500</v>
      </c>
      <c r="N17" s="55">
        <v>40330.519999999997</v>
      </c>
      <c r="O17" s="56">
        <f t="shared" si="3"/>
        <v>31023.47692307692</v>
      </c>
      <c r="P17" s="56">
        <f t="shared" si="4"/>
        <v>9307.043076923077</v>
      </c>
      <c r="Q17" s="56"/>
      <c r="R17" s="57">
        <v>0</v>
      </c>
      <c r="S17" s="67">
        <f>SUM(N17*15%)-2836.35</f>
        <v>3213.2279999999996</v>
      </c>
      <c r="T17" s="67"/>
      <c r="U17" s="70">
        <f t="shared" si="5"/>
        <v>77328.519</v>
      </c>
    </row>
    <row r="18" spans="1:21" ht="29.45" customHeight="1">
      <c r="A18" s="16" t="s">
        <v>109</v>
      </c>
      <c r="B18" s="52" t="s">
        <v>27</v>
      </c>
      <c r="C18" s="51"/>
      <c r="D18" s="51">
        <v>77</v>
      </c>
      <c r="E18" s="51">
        <f t="shared" si="6"/>
        <v>3.85</v>
      </c>
      <c r="F18" s="51">
        <f t="shared" si="0"/>
        <v>73.150000000000006</v>
      </c>
      <c r="G18" s="52">
        <v>25487</v>
      </c>
      <c r="H18" s="51">
        <f t="shared" si="1"/>
        <v>254.87</v>
      </c>
      <c r="I18" s="53">
        <f t="shared" si="2"/>
        <v>18643.740500000004</v>
      </c>
      <c r="J18" s="54"/>
      <c r="K18" s="54">
        <v>800</v>
      </c>
      <c r="L18" s="54">
        <v>800</v>
      </c>
      <c r="M18" s="54">
        <v>500</v>
      </c>
      <c r="N18" s="55">
        <v>37711.43</v>
      </c>
      <c r="O18" s="56">
        <f t="shared" si="3"/>
        <v>29008.792307692307</v>
      </c>
      <c r="P18" s="56">
        <f t="shared" si="4"/>
        <v>8702.6376923076932</v>
      </c>
      <c r="Q18" s="56"/>
      <c r="R18" s="57">
        <v>0</v>
      </c>
      <c r="S18" s="67">
        <f>SUM(N18*15%)-913.46</f>
        <v>4743.2545</v>
      </c>
      <c r="T18" s="67"/>
      <c r="U18" s="70">
        <f>SUM(I18+J18+K18+L18+M18+N18+Q18+R18+S18+T18)-0.01</f>
        <v>63198.415000000008</v>
      </c>
    </row>
    <row r="19" spans="1:21" ht="29.45" customHeight="1">
      <c r="A19" s="16" t="s">
        <v>110</v>
      </c>
      <c r="B19" s="52" t="s">
        <v>81</v>
      </c>
      <c r="C19" s="51"/>
      <c r="D19" s="51">
        <v>68</v>
      </c>
      <c r="E19" s="51">
        <f t="shared" si="6"/>
        <v>3.4</v>
      </c>
      <c r="F19" s="51">
        <f t="shared" si="0"/>
        <v>64.599999999999994</v>
      </c>
      <c r="G19" s="52">
        <v>29695</v>
      </c>
      <c r="H19" s="51">
        <f t="shared" si="1"/>
        <v>296.95</v>
      </c>
      <c r="I19" s="53">
        <f t="shared" si="2"/>
        <v>19182.969999999998</v>
      </c>
      <c r="J19" s="75"/>
      <c r="K19" s="54">
        <f>500-500</f>
        <v>0</v>
      </c>
      <c r="L19" s="54">
        <v>800</v>
      </c>
      <c r="M19" s="54">
        <v>500</v>
      </c>
      <c r="N19" s="55">
        <v>39149.4</v>
      </c>
      <c r="O19" s="56">
        <f t="shared" si="3"/>
        <v>30114.923076923078</v>
      </c>
      <c r="P19" s="56">
        <f t="shared" si="4"/>
        <v>9034.4769230769234</v>
      </c>
      <c r="Q19" s="56">
        <f>SUM(N19*10%)</f>
        <v>3914.9400000000005</v>
      </c>
      <c r="R19" s="57">
        <v>0</v>
      </c>
      <c r="S19" s="67">
        <f>SUM(N19*15%)</f>
        <v>5872.41</v>
      </c>
      <c r="T19" s="67"/>
      <c r="U19" s="70">
        <f t="shared" si="5"/>
        <v>69419.72</v>
      </c>
    </row>
    <row r="20" spans="1:21" ht="29.45" customHeight="1">
      <c r="A20" s="16" t="s">
        <v>111</v>
      </c>
      <c r="B20" s="52" t="s">
        <v>116</v>
      </c>
      <c r="C20" s="51"/>
      <c r="D20" s="51">
        <v>39</v>
      </c>
      <c r="E20" s="51">
        <f t="shared" si="6"/>
        <v>1.95</v>
      </c>
      <c r="F20" s="51">
        <f t="shared" si="0"/>
        <v>37.049999999999997</v>
      </c>
      <c r="G20" s="52">
        <v>33537</v>
      </c>
      <c r="H20" s="51">
        <f t="shared" si="1"/>
        <v>335.37</v>
      </c>
      <c r="I20" s="53">
        <f t="shared" si="2"/>
        <v>12425.458499999999</v>
      </c>
      <c r="J20" s="54"/>
      <c r="K20" s="54">
        <v>800</v>
      </c>
      <c r="L20" s="54">
        <f>800</f>
        <v>800</v>
      </c>
      <c r="M20" s="54">
        <v>500</v>
      </c>
      <c r="N20" s="55">
        <v>33399.82</v>
      </c>
      <c r="O20" s="56">
        <f t="shared" si="3"/>
        <v>25692.169230769228</v>
      </c>
      <c r="P20" s="56">
        <f t="shared" si="4"/>
        <v>7707.6507692307714</v>
      </c>
      <c r="Q20" s="56"/>
      <c r="R20" s="57">
        <v>0</v>
      </c>
      <c r="S20" s="67"/>
      <c r="T20" s="74">
        <f>SUM(N20*20%)</f>
        <v>6679.9639999999999</v>
      </c>
      <c r="U20" s="70">
        <f>SUM(I20+J20+K20+L20+M20+N20+Q20+R20+S20+T20)</f>
        <v>54605.2425</v>
      </c>
    </row>
    <row r="21" spans="1:21" ht="19.149999999999999" customHeight="1"/>
    <row r="22" spans="1:21" ht="19.149999999999999" customHeight="1"/>
  </sheetData>
  <mergeCells count="9">
    <mergeCell ref="Q4:Q5"/>
    <mergeCell ref="R4:R5"/>
    <mergeCell ref="S4:S5"/>
    <mergeCell ref="T4:T5"/>
    <mergeCell ref="C4:C5"/>
    <mergeCell ref="D4:D5"/>
    <mergeCell ref="E4:E5"/>
    <mergeCell ref="F4:F5"/>
    <mergeCell ref="N4:P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Q7"/>
  <sheetViews>
    <sheetView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" sqref="I1"/>
    </sheetView>
  </sheetViews>
  <sheetFormatPr defaultRowHeight="15"/>
  <cols>
    <col min="1" max="1" width="32.28515625" customWidth="1"/>
    <col min="2" max="2" width="18" customWidth="1"/>
    <col min="3" max="5" width="9.5703125" bestFit="1" customWidth="1"/>
    <col min="6" max="6" width="12.42578125" customWidth="1"/>
    <col min="7" max="7" width="7.140625" customWidth="1"/>
    <col min="8" max="8" width="7" customWidth="1"/>
    <col min="9" max="9" width="11.42578125" customWidth="1"/>
    <col min="10" max="10" width="11" customWidth="1"/>
    <col min="11" max="11" width="10.7109375" customWidth="1"/>
    <col min="12" max="12" width="4.7109375" hidden="1" customWidth="1"/>
    <col min="13" max="13" width="12.85546875" customWidth="1"/>
    <col min="14" max="14" width="11" customWidth="1"/>
    <col min="15" max="15" width="8.85546875" customWidth="1"/>
  </cols>
  <sheetData>
    <row r="1" spans="1:43" ht="18.75" customHeight="1">
      <c r="A1" s="1" t="s">
        <v>133</v>
      </c>
      <c r="B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3" ht="15.75" customHeight="1" thickBot="1"/>
    <row r="3" spans="1:43" s="114" customFormat="1" ht="81" customHeight="1">
      <c r="A3" s="119" t="s">
        <v>0</v>
      </c>
      <c r="B3" s="119" t="s">
        <v>1</v>
      </c>
      <c r="C3" s="123" t="s">
        <v>4</v>
      </c>
      <c r="D3" s="120" t="s">
        <v>5</v>
      </c>
      <c r="E3" s="112" t="s">
        <v>6</v>
      </c>
      <c r="F3" s="112" t="s">
        <v>7</v>
      </c>
      <c r="G3" s="112" t="s">
        <v>31</v>
      </c>
      <c r="H3" s="112" t="s">
        <v>45</v>
      </c>
      <c r="I3" s="161" t="s">
        <v>67</v>
      </c>
      <c r="J3" s="161"/>
      <c r="K3" s="161"/>
      <c r="L3" s="161" t="s">
        <v>71</v>
      </c>
      <c r="M3" s="153" t="s">
        <v>79</v>
      </c>
      <c r="N3" s="124" t="s">
        <v>8</v>
      </c>
    </row>
    <row r="4" spans="1:43" s="114" customFormat="1" ht="39.75" customHeight="1" thickBot="1">
      <c r="A4" s="121"/>
      <c r="B4" s="121"/>
      <c r="C4" s="122"/>
      <c r="D4" s="122"/>
      <c r="E4" s="122"/>
      <c r="F4" s="122"/>
      <c r="G4" s="116"/>
      <c r="H4" s="116"/>
      <c r="I4" s="117" t="s">
        <v>68</v>
      </c>
      <c r="J4" s="117" t="s">
        <v>69</v>
      </c>
      <c r="K4" s="117" t="s">
        <v>70</v>
      </c>
      <c r="L4" s="161"/>
      <c r="M4" s="153"/>
      <c r="N4" s="125"/>
    </row>
    <row r="5" spans="1:43" s="48" customFormat="1" ht="32.450000000000003" customHeight="1">
      <c r="A5" s="16" t="s">
        <v>139</v>
      </c>
      <c r="B5" s="39" t="s">
        <v>114</v>
      </c>
      <c r="C5" s="106">
        <v>75</v>
      </c>
      <c r="D5" s="39">
        <v>14790</v>
      </c>
      <c r="E5" s="40">
        <f>SUM(D5/100)</f>
        <v>147.9</v>
      </c>
      <c r="F5" s="91">
        <f>SUM(C5*E5)</f>
        <v>11092.5</v>
      </c>
      <c r="G5" s="92"/>
      <c r="H5" s="92">
        <v>0</v>
      </c>
      <c r="I5" s="93">
        <v>40384.6</v>
      </c>
      <c r="J5" s="94">
        <f>SUM(I5/1.3)</f>
        <v>31065.076923076922</v>
      </c>
      <c r="K5" s="94">
        <f>SUM(I5-J5)</f>
        <v>9319.5230769230766</v>
      </c>
      <c r="L5" s="95"/>
      <c r="M5" s="95"/>
      <c r="N5" s="96">
        <f>SUM(F5+G5+H5+I5+L5+M5)</f>
        <v>51477.1</v>
      </c>
      <c r="O5" s="98"/>
      <c r="P5" s="9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4" customHeight="1">
      <c r="A6" s="2" t="s">
        <v>140</v>
      </c>
      <c r="B6" s="97" t="s">
        <v>78</v>
      </c>
      <c r="C6" s="106">
        <v>66</v>
      </c>
      <c r="D6" s="39">
        <v>15469</v>
      </c>
      <c r="E6" s="40">
        <f>SUM(D6/100)</f>
        <v>154.69</v>
      </c>
      <c r="F6" s="91">
        <f>SUM(C6*E6)</f>
        <v>10209.539999999999</v>
      </c>
      <c r="G6" s="92"/>
      <c r="H6" s="92">
        <v>500</v>
      </c>
      <c r="I6" s="93">
        <v>40896.21</v>
      </c>
      <c r="J6" s="94">
        <f>SUM(I6/1.3)</f>
        <v>31458.623076923075</v>
      </c>
      <c r="K6" s="94">
        <f>SUM(I6-J6)</f>
        <v>9437.586923076924</v>
      </c>
      <c r="L6" s="95"/>
      <c r="M6" s="94">
        <f>SUM(I6*15%)-1374.97</f>
        <v>4759.4614999999994</v>
      </c>
      <c r="N6" s="96">
        <f>SUM(F6+G6+H6+I6+L6+M6)</f>
        <v>56365.211499999998</v>
      </c>
      <c r="O6" s="99"/>
      <c r="P6" s="99"/>
    </row>
    <row r="7" spans="1:43">
      <c r="C7" s="3"/>
    </row>
  </sheetData>
  <mergeCells count="3">
    <mergeCell ref="I3:K3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5" max="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10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5"/>
  <cols>
    <col min="1" max="1" width="25.85546875" customWidth="1"/>
    <col min="2" max="2" width="23" customWidth="1"/>
    <col min="3" max="3" width="9.85546875" hidden="1" customWidth="1"/>
    <col min="4" max="6" width="0" hidden="1" customWidth="1"/>
    <col min="7" max="7" width="4.28515625" hidden="1" customWidth="1"/>
    <col min="8" max="8" width="10.140625" customWidth="1"/>
    <col min="9" max="9" width="8.28515625" customWidth="1"/>
    <col min="10" max="10" width="7.28515625" customWidth="1"/>
    <col min="11" max="11" width="13" customWidth="1"/>
    <col min="12" max="12" width="9.7109375" customWidth="1"/>
    <col min="13" max="13" width="6" customWidth="1"/>
    <col min="14" max="14" width="10.28515625" customWidth="1"/>
    <col min="15" max="15" width="10.7109375" customWidth="1"/>
    <col min="16" max="16" width="11.28515625" customWidth="1"/>
    <col min="17" max="17" width="11.7109375" customWidth="1"/>
    <col min="18" max="18" width="7.5703125" customWidth="1"/>
    <col min="19" max="19" width="11" customWidth="1"/>
    <col min="20" max="20" width="11.7109375" customWidth="1"/>
  </cols>
  <sheetData>
    <row r="1" spans="1:20" ht="48.75" customHeight="1">
      <c r="A1" s="1" t="s">
        <v>133</v>
      </c>
      <c r="B1" s="1"/>
      <c r="C1" s="1"/>
      <c r="D1" s="1"/>
      <c r="E1" s="1"/>
      <c r="R1" s="1"/>
      <c r="S1" s="1"/>
      <c r="T1" s="1"/>
    </row>
    <row r="2" spans="1:20" ht="47.25" customHeight="1" thickBot="1"/>
    <row r="3" spans="1:20" s="114" customFormat="1" ht="87" customHeight="1" thickBot="1">
      <c r="A3" s="119" t="s">
        <v>0</v>
      </c>
      <c r="B3" s="119" t="s">
        <v>1</v>
      </c>
      <c r="C3" s="127" t="s">
        <v>15</v>
      </c>
      <c r="D3" s="127" t="s">
        <v>16</v>
      </c>
      <c r="E3" s="128"/>
      <c r="F3" s="129" t="s">
        <v>19</v>
      </c>
      <c r="G3" s="130"/>
      <c r="H3" s="123" t="s">
        <v>4</v>
      </c>
      <c r="I3" s="120" t="s">
        <v>5</v>
      </c>
      <c r="J3" s="112" t="s">
        <v>6</v>
      </c>
      <c r="K3" s="112" t="s">
        <v>7</v>
      </c>
      <c r="L3" s="112" t="s">
        <v>38</v>
      </c>
      <c r="M3" s="112" t="s">
        <v>43</v>
      </c>
      <c r="N3" s="112" t="s">
        <v>45</v>
      </c>
      <c r="O3" s="161" t="s">
        <v>67</v>
      </c>
      <c r="P3" s="161"/>
      <c r="Q3" s="161"/>
      <c r="R3" s="161" t="s">
        <v>71</v>
      </c>
      <c r="S3" s="157" t="s">
        <v>79</v>
      </c>
      <c r="T3" s="124" t="s">
        <v>8</v>
      </c>
    </row>
    <row r="4" spans="1:20" s="114" customFormat="1" ht="41.25" customHeight="1" thickBot="1">
      <c r="A4" s="121"/>
      <c r="B4" s="121"/>
      <c r="C4" s="130" t="s">
        <v>3</v>
      </c>
      <c r="D4" s="131" t="s">
        <v>17</v>
      </c>
      <c r="E4" s="128" t="s">
        <v>18</v>
      </c>
      <c r="F4" s="131" t="s">
        <v>20</v>
      </c>
      <c r="G4" s="131" t="s">
        <v>21</v>
      </c>
      <c r="H4" s="122"/>
      <c r="I4" s="122"/>
      <c r="J4" s="122"/>
      <c r="K4" s="122"/>
      <c r="L4" s="122"/>
      <c r="M4" s="116"/>
      <c r="N4" s="116"/>
      <c r="O4" s="117" t="s">
        <v>68</v>
      </c>
      <c r="P4" s="117" t="s">
        <v>69</v>
      </c>
      <c r="Q4" s="117" t="s">
        <v>70</v>
      </c>
      <c r="R4" s="161"/>
      <c r="S4" s="158"/>
      <c r="T4" s="125"/>
    </row>
    <row r="5" spans="1:20" ht="42" customHeight="1">
      <c r="A5" s="126" t="s">
        <v>141</v>
      </c>
      <c r="B5" s="51" t="s">
        <v>66</v>
      </c>
      <c r="C5" s="77">
        <v>8</v>
      </c>
      <c r="D5" s="51">
        <v>0</v>
      </c>
      <c r="E5" s="78">
        <v>0</v>
      </c>
      <c r="F5" s="51">
        <v>0</v>
      </c>
      <c r="G5" s="51">
        <v>0</v>
      </c>
      <c r="H5" s="105">
        <v>72</v>
      </c>
      <c r="I5" s="51">
        <v>35708</v>
      </c>
      <c r="J5" s="51">
        <f>SUM(I5/100)</f>
        <v>357.08</v>
      </c>
      <c r="K5" s="53">
        <f>SUM(H5*J5)</f>
        <v>25709.759999999998</v>
      </c>
      <c r="L5" s="53">
        <v>0</v>
      </c>
      <c r="M5" s="56">
        <v>0</v>
      </c>
      <c r="N5" s="56">
        <v>500</v>
      </c>
      <c r="O5" s="56">
        <v>44168.77</v>
      </c>
      <c r="P5" s="56">
        <f>SUM(O5/1.3)</f>
        <v>33975.976923076916</v>
      </c>
      <c r="Q5" s="56">
        <f>SUM(O5-P5)</f>
        <v>10192.793076923081</v>
      </c>
      <c r="R5" s="56"/>
      <c r="S5" s="56">
        <f>SUM(O5*15%)</f>
        <v>6625.3154999999997</v>
      </c>
      <c r="T5" s="76">
        <f>SUM(K5+L5+M5+N5+O5+R5+S5)</f>
        <v>77003.845499999996</v>
      </c>
    </row>
    <row r="8" spans="1:20">
      <c r="R8" t="s">
        <v>42</v>
      </c>
    </row>
    <row r="10" spans="1:20">
      <c r="H10" s="103"/>
    </row>
  </sheetData>
  <mergeCells count="3">
    <mergeCell ref="O3:Q3"/>
    <mergeCell ref="R3:R4"/>
    <mergeCell ref="S3:S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"/>
  <sheetViews>
    <sheetView view="pageBreakPreview" zoomScaleNormal="100" zoomScaleSheetLayoutView="100" workbookViewId="0">
      <selection activeCell="H1" sqref="H1"/>
    </sheetView>
  </sheetViews>
  <sheetFormatPr defaultRowHeight="15"/>
  <cols>
    <col min="1" max="1" width="26.140625" customWidth="1"/>
    <col min="2" max="2" width="16.28515625" customWidth="1"/>
    <col min="3" max="4" width="7.7109375" customWidth="1"/>
    <col min="5" max="5" width="9.42578125" bestFit="1" customWidth="1"/>
    <col min="6" max="6" width="12.42578125" customWidth="1"/>
    <col min="7" max="7" width="6.7109375" customWidth="1"/>
    <col min="8" max="8" width="11" customWidth="1"/>
    <col min="9" max="9" width="12.28515625" customWidth="1"/>
    <col min="10" max="10" width="11.28515625" customWidth="1"/>
    <col min="11" max="11" width="7.85546875" customWidth="1"/>
    <col min="12" max="12" width="8.7109375" customWidth="1"/>
    <col min="13" max="13" width="11.42578125" customWidth="1"/>
    <col min="14" max="14" width="8.28515625" customWidth="1"/>
    <col min="15" max="15" width="11" customWidth="1"/>
  </cols>
  <sheetData>
    <row r="1" spans="1:15" ht="36.75" customHeight="1">
      <c r="A1" s="1" t="s">
        <v>133</v>
      </c>
      <c r="B1" s="1"/>
      <c r="H1" s="1"/>
      <c r="I1" s="1"/>
      <c r="J1" s="1"/>
      <c r="K1" s="1"/>
      <c r="L1" s="1"/>
      <c r="M1" s="1"/>
      <c r="N1" s="1"/>
      <c r="O1" s="1"/>
    </row>
    <row r="2" spans="1:15" ht="15.75" customHeight="1" thickBot="1"/>
    <row r="3" spans="1:15" s="114" customFormat="1" ht="82.5" customHeight="1">
      <c r="A3" s="119" t="s">
        <v>0</v>
      </c>
      <c r="B3" s="119" t="s">
        <v>1</v>
      </c>
      <c r="C3" s="123" t="s">
        <v>4</v>
      </c>
      <c r="D3" s="120" t="s">
        <v>5</v>
      </c>
      <c r="E3" s="112" t="s">
        <v>6</v>
      </c>
      <c r="F3" s="112" t="s">
        <v>7</v>
      </c>
      <c r="G3" s="112" t="s">
        <v>30</v>
      </c>
      <c r="H3" s="161" t="s">
        <v>67</v>
      </c>
      <c r="I3" s="161"/>
      <c r="J3" s="161"/>
      <c r="K3" s="161" t="s">
        <v>71</v>
      </c>
      <c r="L3" s="111" t="s">
        <v>45</v>
      </c>
      <c r="M3" s="166" t="s">
        <v>79</v>
      </c>
      <c r="N3" s="111" t="s">
        <v>76</v>
      </c>
      <c r="O3" s="124" t="s">
        <v>8</v>
      </c>
    </row>
    <row r="4" spans="1:15" s="114" customFormat="1" ht="54" customHeight="1" thickBot="1">
      <c r="A4" s="121"/>
      <c r="B4" s="121"/>
      <c r="C4" s="122"/>
      <c r="D4" s="122"/>
      <c r="E4" s="122"/>
      <c r="F4" s="122"/>
      <c r="G4" s="116"/>
      <c r="H4" s="117" t="s">
        <v>68</v>
      </c>
      <c r="I4" s="117" t="s">
        <v>69</v>
      </c>
      <c r="J4" s="117" t="s">
        <v>70</v>
      </c>
      <c r="K4" s="161"/>
      <c r="L4" s="116"/>
      <c r="M4" s="167"/>
      <c r="N4" s="116"/>
      <c r="O4" s="125"/>
    </row>
    <row r="5" spans="1:15" s="3" customFormat="1" ht="25.5">
      <c r="A5" s="49" t="s">
        <v>142</v>
      </c>
      <c r="B5" s="50" t="s">
        <v>112</v>
      </c>
      <c r="C5" s="104">
        <v>56</v>
      </c>
      <c r="D5" s="79">
        <v>38799</v>
      </c>
      <c r="E5" s="79">
        <f>SUM(D5/100)</f>
        <v>387.99</v>
      </c>
      <c r="F5" s="80">
        <f>SUM(C5*E5)</f>
        <v>21727.440000000002</v>
      </c>
      <c r="G5" s="81"/>
      <c r="H5" s="81">
        <v>33073.08</v>
      </c>
      <c r="I5" s="81">
        <f>SUM(H5/1.3)</f>
        <v>25440.830769230768</v>
      </c>
      <c r="J5" s="81">
        <f>SUM(H5-I5)</f>
        <v>7632.2492307692337</v>
      </c>
      <c r="K5" s="81"/>
      <c r="L5" s="81">
        <v>500</v>
      </c>
      <c r="M5" s="81">
        <f>SUM(H5*15%)</f>
        <v>4960.9620000000004</v>
      </c>
      <c r="N5" s="81"/>
      <c r="O5" s="82">
        <f>SUM(F5+G5+H5+K5+L5+N5+M5)</f>
        <v>60261.482000000004</v>
      </c>
    </row>
  </sheetData>
  <mergeCells count="3">
    <mergeCell ref="H3:J3"/>
    <mergeCell ref="K3:K4"/>
    <mergeCell ref="M3:M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2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I12" sqref="AI12"/>
    </sheetView>
  </sheetViews>
  <sheetFormatPr defaultRowHeight="15"/>
  <cols>
    <col min="1" max="1" width="29.7109375" customWidth="1"/>
    <col min="2" max="2" width="18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13" customWidth="1"/>
    <col min="28" max="28" width="10.85546875" customWidth="1"/>
    <col min="29" max="29" width="8.42578125" customWidth="1"/>
    <col min="30" max="30" width="14.28515625" customWidth="1"/>
    <col min="31" max="31" width="10.140625" customWidth="1"/>
    <col min="32" max="33" width="11.42578125" customWidth="1"/>
    <col min="34" max="34" width="12.28515625" customWidth="1"/>
    <col min="35" max="35" width="12" customWidth="1"/>
    <col min="36" max="36" width="11.85546875" customWidth="1"/>
    <col min="37" max="38" width="10.5703125" customWidth="1"/>
    <col min="39" max="39" width="10.7109375" customWidth="1"/>
    <col min="40" max="40" width="11.85546875" customWidth="1"/>
  </cols>
  <sheetData>
    <row r="1" spans="1:40" ht="18.75">
      <c r="A1" s="8" t="s">
        <v>133</v>
      </c>
      <c r="B1" s="8"/>
      <c r="C1" s="8"/>
      <c r="D1" s="8"/>
      <c r="E1" s="8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8"/>
      <c r="AJ1" s="8"/>
      <c r="AK1" s="8"/>
      <c r="AL1" s="8"/>
      <c r="AM1" s="8"/>
      <c r="AN1" s="8"/>
    </row>
    <row r="2" spans="1:40" ht="15.7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s="114" customFormat="1" ht="77.25" customHeight="1" thickBot="1">
      <c r="A3" s="132" t="s">
        <v>0</v>
      </c>
      <c r="B3" s="132" t="s">
        <v>1</v>
      </c>
      <c r="C3" s="133" t="s">
        <v>15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3" t="s">
        <v>25</v>
      </c>
      <c r="S3" s="135"/>
      <c r="T3" s="135"/>
      <c r="U3" s="135"/>
      <c r="V3" s="135"/>
      <c r="W3" s="135"/>
      <c r="X3" s="135"/>
      <c r="Y3" s="135"/>
      <c r="Z3" s="136"/>
      <c r="AA3" s="137" t="s">
        <v>4</v>
      </c>
      <c r="AB3" s="138" t="s">
        <v>5</v>
      </c>
      <c r="AC3" s="139" t="s">
        <v>6</v>
      </c>
      <c r="AD3" s="140" t="s">
        <v>7</v>
      </c>
      <c r="AE3" s="168" t="s">
        <v>30</v>
      </c>
      <c r="AF3" s="168"/>
      <c r="AG3" s="168" t="s">
        <v>132</v>
      </c>
      <c r="AH3" s="168"/>
      <c r="AI3" s="171" t="s">
        <v>67</v>
      </c>
      <c r="AJ3" s="161"/>
      <c r="AK3" s="161"/>
      <c r="AL3" s="169" t="s">
        <v>85</v>
      </c>
      <c r="AM3" s="172" t="s">
        <v>84</v>
      </c>
      <c r="AN3" s="141" t="s">
        <v>8</v>
      </c>
    </row>
    <row r="4" spans="1:40" s="114" customFormat="1" ht="40.5" customHeight="1" thickBot="1">
      <c r="A4" s="142"/>
      <c r="B4" s="142"/>
      <c r="C4" s="143" t="s">
        <v>3</v>
      </c>
      <c r="D4" s="143" t="s">
        <v>46</v>
      </c>
      <c r="E4" s="143" t="s">
        <v>47</v>
      </c>
      <c r="F4" s="143" t="s">
        <v>48</v>
      </c>
      <c r="G4" s="136" t="s">
        <v>49</v>
      </c>
      <c r="H4" s="143" t="s">
        <v>22</v>
      </c>
      <c r="I4" s="143" t="s">
        <v>23</v>
      </c>
      <c r="J4" s="143" t="s">
        <v>24</v>
      </c>
      <c r="K4" s="143" t="s">
        <v>50</v>
      </c>
      <c r="L4" s="143" t="s">
        <v>51</v>
      </c>
      <c r="M4" s="143" t="s">
        <v>52</v>
      </c>
      <c r="N4" s="136" t="s">
        <v>53</v>
      </c>
      <c r="O4" s="143" t="s">
        <v>54</v>
      </c>
      <c r="P4" s="143" t="s">
        <v>55</v>
      </c>
      <c r="Q4" s="143" t="s">
        <v>56</v>
      </c>
      <c r="R4" s="143" t="s">
        <v>57</v>
      </c>
      <c r="S4" s="143" t="s">
        <v>58</v>
      </c>
      <c r="T4" s="143" t="s">
        <v>59</v>
      </c>
      <c r="U4" s="143" t="s">
        <v>60</v>
      </c>
      <c r="V4" s="143" t="s">
        <v>61</v>
      </c>
      <c r="W4" s="143" t="s">
        <v>62</v>
      </c>
      <c r="X4" s="143" t="s">
        <v>63</v>
      </c>
      <c r="Y4" s="143" t="s">
        <v>64</v>
      </c>
      <c r="Z4" s="143" t="s">
        <v>65</v>
      </c>
      <c r="AA4" s="144"/>
      <c r="AB4" s="144"/>
      <c r="AC4" s="144"/>
      <c r="AD4" s="144"/>
      <c r="AE4" s="145"/>
      <c r="AF4" s="145"/>
      <c r="AG4" s="145"/>
      <c r="AH4" s="145"/>
      <c r="AI4" s="117" t="s">
        <v>68</v>
      </c>
      <c r="AJ4" s="117" t="s">
        <v>69</v>
      </c>
      <c r="AK4" s="117" t="s">
        <v>70</v>
      </c>
      <c r="AL4" s="170"/>
      <c r="AM4" s="172"/>
      <c r="AN4" s="141"/>
    </row>
    <row r="5" spans="1:40" s="114" customFormat="1" ht="58.9" customHeight="1">
      <c r="A5" s="146"/>
      <c r="B5" s="146"/>
      <c r="C5" s="147"/>
      <c r="D5" s="147"/>
      <c r="E5" s="139"/>
      <c r="F5" s="147"/>
      <c r="G5" s="148"/>
      <c r="H5" s="139"/>
      <c r="I5" s="139"/>
      <c r="J5" s="139"/>
      <c r="K5" s="139"/>
      <c r="L5" s="139"/>
      <c r="M5" s="147"/>
      <c r="N5" s="148"/>
      <c r="O5" s="139"/>
      <c r="P5" s="139"/>
      <c r="Q5" s="149"/>
      <c r="R5" s="147"/>
      <c r="S5" s="150"/>
      <c r="T5" s="150"/>
      <c r="U5" s="150"/>
      <c r="V5" s="150"/>
      <c r="W5" s="150"/>
      <c r="X5" s="150"/>
      <c r="Y5" s="150"/>
      <c r="Z5" s="150"/>
      <c r="AA5" s="147"/>
      <c r="AB5" s="147"/>
      <c r="AC5" s="147"/>
      <c r="AD5" s="147"/>
      <c r="AE5" s="151" t="s">
        <v>83</v>
      </c>
      <c r="AF5" s="151"/>
      <c r="AG5" s="151" t="s">
        <v>83</v>
      </c>
      <c r="AH5" s="151"/>
      <c r="AI5" s="117"/>
      <c r="AJ5" s="117"/>
      <c r="AK5" s="117"/>
      <c r="AL5" s="117"/>
      <c r="AM5" s="152"/>
      <c r="AN5" s="141"/>
    </row>
    <row r="6" spans="1:40" ht="15.75" hidden="1">
      <c r="A6" s="24" t="s">
        <v>33</v>
      </c>
      <c r="B6" s="25"/>
      <c r="C6" s="26">
        <v>16</v>
      </c>
      <c r="D6" s="26">
        <v>2</v>
      </c>
      <c r="E6" s="27">
        <v>2</v>
      </c>
      <c r="F6" s="26">
        <v>2</v>
      </c>
      <c r="G6" s="27">
        <v>0</v>
      </c>
      <c r="H6" s="27">
        <v>0</v>
      </c>
      <c r="I6" s="27">
        <v>3</v>
      </c>
      <c r="J6" s="27">
        <v>2</v>
      </c>
      <c r="K6" s="27">
        <v>0</v>
      </c>
      <c r="L6" s="27">
        <v>2</v>
      </c>
      <c r="M6" s="26">
        <v>1</v>
      </c>
      <c r="N6" s="27">
        <v>0</v>
      </c>
      <c r="O6" s="27">
        <v>2</v>
      </c>
      <c r="P6" s="27">
        <v>2</v>
      </c>
      <c r="Q6" s="28">
        <v>2</v>
      </c>
      <c r="R6" s="26">
        <v>2</v>
      </c>
      <c r="S6" s="29">
        <v>1</v>
      </c>
      <c r="T6" s="29">
        <v>2</v>
      </c>
      <c r="U6" s="29">
        <v>1</v>
      </c>
      <c r="V6" s="29">
        <v>1</v>
      </c>
      <c r="W6" s="29">
        <v>2</v>
      </c>
      <c r="X6" s="29">
        <v>0</v>
      </c>
      <c r="Y6" s="29">
        <v>2</v>
      </c>
      <c r="Z6" s="29">
        <v>4</v>
      </c>
      <c r="AA6" s="30"/>
      <c r="AB6" s="31">
        <v>3288</v>
      </c>
      <c r="AC6" s="31">
        <f>SUM(AB6/100)</f>
        <v>32.880000000000003</v>
      </c>
      <c r="AD6" s="31">
        <f>SUM(AA6*AC6)</f>
        <v>0</v>
      </c>
      <c r="AE6" s="32"/>
      <c r="AF6" s="32"/>
      <c r="AG6" s="32"/>
      <c r="AH6" s="32">
        <v>0</v>
      </c>
      <c r="AI6" s="33"/>
      <c r="AJ6" s="33">
        <f>SUM(AI6/1.3)</f>
        <v>0</v>
      </c>
      <c r="AK6" s="33">
        <f>SUM(AI6-AJ6)</f>
        <v>0</v>
      </c>
      <c r="AL6" s="41"/>
      <c r="AM6" s="34"/>
      <c r="AN6" s="35">
        <f>SUM(AD6+AF6+AH6+AI6+AM6)</f>
        <v>0</v>
      </c>
    </row>
    <row r="7" spans="1:40" ht="40.15" hidden="1" customHeight="1">
      <c r="A7" s="10" t="s">
        <v>34</v>
      </c>
      <c r="B7" s="36" t="s">
        <v>86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6"/>
      <c r="AB7" s="13"/>
      <c r="AC7" s="14">
        <f>SUM(AB7/100)</f>
        <v>0</v>
      </c>
      <c r="AD7" s="14">
        <f>SUM(AA7*AC7)</f>
        <v>0</v>
      </c>
      <c r="AE7" s="18">
        <v>30</v>
      </c>
      <c r="AF7" s="23">
        <f>SUM(AI7*AE7)/100</f>
        <v>0</v>
      </c>
      <c r="AG7" s="19">
        <v>60</v>
      </c>
      <c r="AH7" s="19">
        <f>SUM(AI7*AG7)/100</f>
        <v>0</v>
      </c>
      <c r="AI7" s="13"/>
      <c r="AJ7" s="13">
        <f>SUM(AI7/1.3)</f>
        <v>0</v>
      </c>
      <c r="AK7" s="13">
        <f>SUM(AI7-AJ7)</f>
        <v>0</v>
      </c>
      <c r="AL7" s="13">
        <f>SUM(AI7*25/100)</f>
        <v>0</v>
      </c>
      <c r="AM7" s="42">
        <f>SUM(AI7*25/100)</f>
        <v>0</v>
      </c>
      <c r="AN7" s="21">
        <f>SUM(AD7+AF7+AH7+AI7+AM7+AL7)</f>
        <v>0</v>
      </c>
    </row>
    <row r="8" spans="1:40" ht="47.25">
      <c r="A8" s="11" t="s">
        <v>35</v>
      </c>
      <c r="B8" s="10" t="s">
        <v>122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10">
        <v>0</v>
      </c>
      <c r="AB8" s="15">
        <v>31617</v>
      </c>
      <c r="AC8" s="12">
        <f>SUM(AB8/100)</f>
        <v>316.17</v>
      </c>
      <c r="AD8" s="12">
        <f>SUM(AA8*AC8)</f>
        <v>0</v>
      </c>
      <c r="AE8" s="17"/>
      <c r="AF8" s="15">
        <f>1000-1000</f>
        <v>0</v>
      </c>
      <c r="AG8" s="20"/>
      <c r="AH8" s="20">
        <v>0</v>
      </c>
      <c r="AI8" s="13">
        <v>17035.400000000001</v>
      </c>
      <c r="AJ8" s="13">
        <f>SUM(AI8/1.3)</f>
        <v>13104.153846153848</v>
      </c>
      <c r="AK8" s="13">
        <f>SUM(AI8-AJ8)</f>
        <v>3931.2461538461539</v>
      </c>
      <c r="AL8" s="13"/>
      <c r="AM8" s="43"/>
      <c r="AN8" s="21">
        <f>SUM(AD8+AF8+AH8+AI8+AM8)</f>
        <v>17035.400000000001</v>
      </c>
    </row>
    <row r="9" spans="1:40" s="3" customFormat="1" ht="40.15" customHeight="1">
      <c r="A9" s="11" t="s">
        <v>36</v>
      </c>
      <c r="B9" s="83" t="s">
        <v>120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3"/>
      <c r="AB9" s="85">
        <v>13974</v>
      </c>
      <c r="AC9" s="86"/>
      <c r="AD9" s="100">
        <f>SUM(AA9*AC9)</f>
        <v>0</v>
      </c>
      <c r="AE9" s="87"/>
      <c r="AF9" s="85"/>
      <c r="AG9" s="88">
        <v>32</v>
      </c>
      <c r="AH9" s="102">
        <f>SUM(AG9*AI9)/100-0.01</f>
        <v>7777.8556000000008</v>
      </c>
      <c r="AI9" s="89">
        <v>24305.83</v>
      </c>
      <c r="AJ9" s="89">
        <f>SUM(AI9/1.3)</f>
        <v>18696.792307692307</v>
      </c>
      <c r="AK9" s="89">
        <f>SUM(AI9-AJ9)</f>
        <v>5609.0376923076947</v>
      </c>
      <c r="AL9" s="89">
        <f>SUM(AI9*0.25)-0.01</f>
        <v>6076.4475000000002</v>
      </c>
      <c r="AM9" s="85"/>
      <c r="AN9" s="90">
        <f>SUM(AD9+AF9+AH9+AI9+AM9+AL9)+0.01</f>
        <v>38160.143100000008</v>
      </c>
    </row>
    <row r="10" spans="1:40">
      <c r="E10">
        <v>66922.7</v>
      </c>
    </row>
    <row r="14" spans="1:40">
      <c r="A14" s="101"/>
    </row>
    <row r="16" spans="1:40">
      <c r="B16" s="47"/>
    </row>
    <row r="17" spans="2:2">
      <c r="B17" s="47"/>
    </row>
    <row r="18" spans="2:2">
      <c r="B18" s="47"/>
    </row>
    <row r="19" spans="2:2">
      <c r="B19" s="47"/>
    </row>
    <row r="20" spans="2:2">
      <c r="B20" s="47"/>
    </row>
    <row r="21" spans="2:2">
      <c r="B21" s="47"/>
    </row>
    <row r="22" spans="2:2">
      <c r="B22" s="47"/>
    </row>
  </sheetData>
  <mergeCells count="5">
    <mergeCell ref="AE3:AF3"/>
    <mergeCell ref="AG3:AH3"/>
    <mergeCell ref="AL3:AL4"/>
    <mergeCell ref="AI3:AK3"/>
    <mergeCell ref="AM3:AM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2020-11-18T10:09:03Z</cp:lastPrinted>
  <dcterms:created xsi:type="dcterms:W3CDTF">2014-07-06T03:46:52Z</dcterms:created>
  <dcterms:modified xsi:type="dcterms:W3CDTF">2021-08-01T14:06:44Z</dcterms:modified>
</cp:coreProperties>
</file>