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9975" activeTab="5"/>
  </bookViews>
  <sheets>
    <sheet name="ДОУ (2)" sheetId="7" r:id="rId1"/>
    <sheet name="ШКОЛЫ (2)" sheetId="8" r:id="rId2"/>
    <sheet name="ДОД (2)" sheetId="9" r:id="rId3"/>
    <sheet name="коррекц." sheetId="4" r:id="rId4"/>
    <sheet name="Детский дом (2)" sheetId="10" r:id="rId5"/>
    <sheet name="БОБ+ЦБ" sheetId="6" r:id="rId6"/>
  </sheets>
  <definedNames>
    <definedName name="_xlnm.Print_Area" localSheetId="5">'БОБ+ЦБ'!$A$1:$AQ$13</definedName>
    <definedName name="_xlnm.Print_Area" localSheetId="4">'Детский дом (2)'!$A$1:$AP$5</definedName>
    <definedName name="_xlnm.Print_Area" localSheetId="2">'ДОД (2)'!$A$1:$Y$6</definedName>
    <definedName name="_xlnm.Print_Area" localSheetId="0">'ДОУ (2)'!$A$1:$AC$19</definedName>
    <definedName name="_xlnm.Print_Area" localSheetId="3">коррекц.!$A$1:$U$8</definedName>
    <definedName name="_xlnm.Print_Area" localSheetId="1">'ШКОЛЫ (2)'!$A$2:$X$20</definedName>
  </definedNames>
  <calcPr calcId="125725"/>
</workbook>
</file>

<file path=xl/calcChain.xml><?xml version="1.0" encoding="utf-8"?>
<calcChain xmlns="http://schemas.openxmlformats.org/spreadsheetml/2006/main">
  <c r="T6" i="9"/>
  <c r="T15" i="8"/>
  <c r="S18"/>
  <c r="Y18" i="7"/>
  <c r="D15" i="8"/>
  <c r="F7"/>
  <c r="X6" i="7"/>
  <c r="Y17"/>
  <c r="J17"/>
  <c r="K5"/>
  <c r="L5" s="1"/>
  <c r="S5" i="4"/>
  <c r="AA9" i="6"/>
  <c r="D16" i="8"/>
  <c r="E15"/>
  <c r="F15" s="1"/>
  <c r="F6"/>
  <c r="N11" i="7"/>
  <c r="O11" s="1"/>
  <c r="K16"/>
  <c r="E14" i="8"/>
  <c r="X5" i="7"/>
  <c r="K6"/>
  <c r="L6" s="1"/>
  <c r="K7"/>
  <c r="L7"/>
  <c r="O7" s="1"/>
  <c r="K8"/>
  <c r="L8" s="1"/>
  <c r="K9"/>
  <c r="L9" s="1"/>
  <c r="O9" s="1"/>
  <c r="K11"/>
  <c r="K12"/>
  <c r="L12"/>
  <c r="K13"/>
  <c r="L13" s="1"/>
  <c r="O13" s="1"/>
  <c r="K14"/>
  <c r="K17"/>
  <c r="L17" s="1"/>
  <c r="O17" s="1"/>
  <c r="K18"/>
  <c r="L18" s="1"/>
  <c r="O18" s="1"/>
  <c r="H7" i="8"/>
  <c r="I7"/>
  <c r="V7" s="1"/>
  <c r="H8"/>
  <c r="H9"/>
  <c r="H10"/>
  <c r="H11"/>
  <c r="I11" s="1"/>
  <c r="H12"/>
  <c r="H13"/>
  <c r="H14"/>
  <c r="H15"/>
  <c r="I15" s="1"/>
  <c r="H16"/>
  <c r="H17"/>
  <c r="H18"/>
  <c r="H19"/>
  <c r="H20"/>
  <c r="H6"/>
  <c r="E20"/>
  <c r="F20"/>
  <c r="I20" s="1"/>
  <c r="E19"/>
  <c r="F19" s="1"/>
  <c r="I19" s="1"/>
  <c r="E18"/>
  <c r="F18" s="1"/>
  <c r="I18" s="1"/>
  <c r="E17"/>
  <c r="F17" s="1"/>
  <c r="I17" s="1"/>
  <c r="E13"/>
  <c r="F13"/>
  <c r="I13" s="1"/>
  <c r="E12"/>
  <c r="F12" s="1"/>
  <c r="I12" s="1"/>
  <c r="E10"/>
  <c r="F10" s="1"/>
  <c r="I10" s="1"/>
  <c r="E9"/>
  <c r="E8"/>
  <c r="F8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P6"/>
  <c r="O6"/>
  <c r="K6" i="9"/>
  <c r="K5"/>
  <c r="L5"/>
  <c r="M5" s="1"/>
  <c r="Q5"/>
  <c r="R5" s="1"/>
  <c r="X5" i="4"/>
  <c r="T14" i="8"/>
  <c r="S9"/>
  <c r="S20"/>
  <c r="L14" i="7"/>
  <c r="AK5" i="10"/>
  <c r="S13" i="8"/>
  <c r="F9"/>
  <c r="I9" s="1"/>
  <c r="X13" i="7"/>
  <c r="AC6"/>
  <c r="AC7"/>
  <c r="AC8"/>
  <c r="AC9"/>
  <c r="AC10"/>
  <c r="AC12"/>
  <c r="AC14"/>
  <c r="AC15"/>
  <c r="AC16"/>
  <c r="AC18"/>
  <c r="AC19"/>
  <c r="AC5"/>
  <c r="AP5" i="10"/>
  <c r="AG5"/>
  <c r="AH5" s="1"/>
  <c r="AC5"/>
  <c r="AD5" s="1"/>
  <c r="X6" i="9"/>
  <c r="Q6"/>
  <c r="R6" s="1"/>
  <c r="L6"/>
  <c r="M6" s="1"/>
  <c r="X5"/>
  <c r="S16" i="8"/>
  <c r="X20"/>
  <c r="L20"/>
  <c r="S19"/>
  <c r="Q19"/>
  <c r="X19"/>
  <c r="K19"/>
  <c r="X18"/>
  <c r="X17"/>
  <c r="S17"/>
  <c r="L17"/>
  <c r="X16"/>
  <c r="X15"/>
  <c r="Q14"/>
  <c r="X14" s="1"/>
  <c r="X13"/>
  <c r="X12"/>
  <c r="X11"/>
  <c r="Q10"/>
  <c r="X9"/>
  <c r="K9"/>
  <c r="X8"/>
  <c r="S8"/>
  <c r="X7"/>
  <c r="X6"/>
  <c r="V12" i="7"/>
  <c r="V11"/>
  <c r="V9"/>
  <c r="R18"/>
  <c r="S18"/>
  <c r="N18"/>
  <c r="T17"/>
  <c r="AC17" s="1"/>
  <c r="R17"/>
  <c r="S17" s="1"/>
  <c r="N17"/>
  <c r="R16"/>
  <c r="S16"/>
  <c r="N16"/>
  <c r="O16" s="1"/>
  <c r="R14"/>
  <c r="S14" s="1"/>
  <c r="N14"/>
  <c r="O14" s="1"/>
  <c r="T13"/>
  <c r="AC13" s="1"/>
  <c r="R13"/>
  <c r="S13"/>
  <c r="N13"/>
  <c r="R12"/>
  <c r="S12" s="1"/>
  <c r="N12"/>
  <c r="O12" s="1"/>
  <c r="T11"/>
  <c r="AC11" s="1"/>
  <c r="R11"/>
  <c r="S11"/>
  <c r="L11"/>
  <c r="R9"/>
  <c r="S9"/>
  <c r="N9"/>
  <c r="R8"/>
  <c r="S8" s="1"/>
  <c r="N8"/>
  <c r="O8" s="1"/>
  <c r="R7"/>
  <c r="S7" s="1"/>
  <c r="N7"/>
  <c r="R6"/>
  <c r="S6" s="1"/>
  <c r="N6"/>
  <c r="O6" s="1"/>
  <c r="R5"/>
  <c r="S5"/>
  <c r="N5"/>
  <c r="O5" s="1"/>
  <c r="AQ9" i="6"/>
  <c r="AQ8"/>
  <c r="W5" i="4"/>
  <c r="AF7" i="6"/>
  <c r="AH7"/>
  <c r="AC7"/>
  <c r="AD7"/>
  <c r="AP7" s="1"/>
  <c r="AM7"/>
  <c r="AL7"/>
  <c r="J5" i="4"/>
  <c r="K5"/>
  <c r="T5" s="1"/>
  <c r="AF8" i="6"/>
  <c r="AC9"/>
  <c r="AD9"/>
  <c r="AP9" s="1"/>
  <c r="AC6"/>
  <c r="AD6" s="1"/>
  <c r="AJ7"/>
  <c r="AK7" s="1"/>
  <c r="AJ8"/>
  <c r="AK8" s="1"/>
  <c r="AJ9"/>
  <c r="AK9" s="1"/>
  <c r="AJ6"/>
  <c r="AK6" s="1"/>
  <c r="P5" i="4"/>
  <c r="Q5" s="1"/>
  <c r="AC8" i="6"/>
  <c r="AD8" s="1"/>
  <c r="X10" i="8"/>
  <c r="F14"/>
  <c r="I14" s="1"/>
  <c r="L16" i="7"/>
  <c r="AB15"/>
  <c r="AA15"/>
  <c r="AB19"/>
  <c r="AA19"/>
  <c r="AA10"/>
  <c r="I6" i="8"/>
  <c r="W6" s="1"/>
  <c r="AB10" i="7"/>
  <c r="U7" i="8"/>
  <c r="U14" l="1"/>
  <c r="V14"/>
  <c r="W14"/>
  <c r="AP6" i="6"/>
  <c r="AO6"/>
  <c r="AN6"/>
  <c r="V6" i="9"/>
  <c r="U6"/>
  <c r="W6"/>
  <c r="V5"/>
  <c r="W5"/>
  <c r="U5"/>
  <c r="W20" i="8"/>
  <c r="U20"/>
  <c r="V20"/>
  <c r="V15"/>
  <c r="U15"/>
  <c r="W15"/>
  <c r="U11"/>
  <c r="W11"/>
  <c r="V11"/>
  <c r="AB5" i="7"/>
  <c r="AA5"/>
  <c r="Z5"/>
  <c r="Z12"/>
  <c r="AA12"/>
  <c r="AB12"/>
  <c r="AB16"/>
  <c r="AA16"/>
  <c r="Z16"/>
  <c r="AN5" i="10"/>
  <c r="AO5"/>
  <c r="AM5"/>
  <c r="V9" i="8"/>
  <c r="W9"/>
  <c r="U9"/>
  <c r="U13"/>
  <c r="V13"/>
  <c r="W13"/>
  <c r="W19"/>
  <c r="V19"/>
  <c r="U19"/>
  <c r="AB17" i="7"/>
  <c r="AA17"/>
  <c r="Z17"/>
  <c r="Z7"/>
  <c r="AA7"/>
  <c r="AB7"/>
  <c r="AN8" i="6"/>
  <c r="AP8"/>
  <c r="AO8"/>
  <c r="AA6" i="7"/>
  <c r="Z6"/>
  <c r="AB6"/>
  <c r="AA8"/>
  <c r="AB8"/>
  <c r="Z8"/>
  <c r="U12" i="8"/>
  <c r="W12"/>
  <c r="V12"/>
  <c r="V18"/>
  <c r="U18"/>
  <c r="W18"/>
  <c r="AA18" i="7"/>
  <c r="AB18"/>
  <c r="Z18"/>
  <c r="AA14"/>
  <c r="Z14"/>
  <c r="AB14"/>
  <c r="W10" i="8"/>
  <c r="U10"/>
  <c r="V10"/>
  <c r="U17"/>
  <c r="W17"/>
  <c r="V17"/>
  <c r="AA13" i="7"/>
  <c r="AB13"/>
  <c r="Z13"/>
  <c r="AB9"/>
  <c r="AA9"/>
  <c r="Z9"/>
  <c r="Z11"/>
  <c r="AA11"/>
  <c r="AB11"/>
  <c r="I8" i="8"/>
  <c r="AN7" i="6"/>
  <c r="E16" i="8"/>
  <c r="F16" s="1"/>
  <c r="I16" s="1"/>
  <c r="W7"/>
  <c r="AO7" i="6"/>
  <c r="V6" i="8"/>
  <c r="U6"/>
  <c r="AN9" i="6"/>
  <c r="U5" i="4"/>
  <c r="V5"/>
  <c r="AO9" i="6"/>
  <c r="W16" i="8" l="1"/>
  <c r="V16"/>
  <c r="U16"/>
  <c r="V8"/>
  <c r="U8"/>
  <c r="W8"/>
</calcChain>
</file>

<file path=xl/sharedStrings.xml><?xml version="1.0" encoding="utf-8"?>
<sst xmlns="http://schemas.openxmlformats.org/spreadsheetml/2006/main" count="304" uniqueCount="203">
  <si>
    <t>Наименование ОО</t>
  </si>
  <si>
    <t>Ф.И.О руководителя</t>
  </si>
  <si>
    <t>Количество баллов</t>
  </si>
  <si>
    <t>1. Обеспечение доступности качественного образования</t>
  </si>
  <si>
    <t>1.1. Рейтинг ОО</t>
  </si>
  <si>
    <t>1.2. Обеспечение доступности дошкольного образования</t>
  </si>
  <si>
    <t>2. Модернизация дошкольного образования</t>
  </si>
  <si>
    <t>2.1. Доведение заработной платы до уровня средней</t>
  </si>
  <si>
    <t>2.2. целевое и эффектиное использование имеющихся ресурсов</t>
  </si>
  <si>
    <r>
      <t xml:space="preserve">2.3.Повышение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</si>
  <si>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2.3.Повышение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</si>
  <si>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t>Итого баллов</t>
  </si>
  <si>
    <t>Централизованный фонд руководителя (с РК) в руб.</t>
  </si>
  <si>
    <t xml:space="preserve"> Стоимость одного балла (с РК) в руб.</t>
  </si>
  <si>
    <t>Доплата по оценочному листу (с РК) в руб.</t>
  </si>
  <si>
    <t>Итого с РК в руб.</t>
  </si>
  <si>
    <t>Савченко С. Л.</t>
  </si>
  <si>
    <t>Кузьмина Н. А.</t>
  </si>
  <si>
    <t>Владимирцева Л. В.</t>
  </si>
  <si>
    <t>Сенафонкина О. В.</t>
  </si>
  <si>
    <t>Редковская Т. Ф.</t>
  </si>
  <si>
    <t>Казакова Н. В.</t>
  </si>
  <si>
    <t>Новикова Л. А.</t>
  </si>
  <si>
    <t>Хаснулина Л. Д.</t>
  </si>
  <si>
    <t>1. Качество и доступность образования</t>
  </si>
  <si>
    <t>1.2. Удовлетворенность населения</t>
  </si>
  <si>
    <t>2.3.Увеличение доли детей</t>
  </si>
  <si>
    <t>2.4.Удельный вес уч-ся, участвующих в соревнованиях</t>
  </si>
  <si>
    <r>
      <t xml:space="preserve">2.2. целевое и эффектиное использование имеющихся ресурсов - </t>
    </r>
    <r>
      <rPr>
        <b/>
        <i/>
        <sz val="10"/>
        <color indexed="8"/>
        <rFont val="Times New Roman"/>
        <family val="1"/>
        <charset val="204"/>
      </rPr>
      <t>производительность труда</t>
    </r>
  </si>
  <si>
    <r>
      <t>2.2. целевое и эффектиное использование имеющихся ресурсов -</t>
    </r>
    <r>
      <rPr>
        <b/>
        <i/>
        <sz val="10"/>
        <color indexed="8"/>
        <rFont val="Times New Roman"/>
        <family val="1"/>
        <charset val="204"/>
      </rPr>
      <t xml:space="preserve"> эффективность управления кадровыми ресурсами</t>
    </r>
  </si>
  <si>
    <t>2. Модернизация образования</t>
  </si>
  <si>
    <t>2. Модернизация дополнительногообразования</t>
  </si>
  <si>
    <t>2.1. Соотношение "ученик/учитель"</t>
  </si>
  <si>
    <t>2.2. Соотношение ФОТ учителей к ФОТ прочего персонала</t>
  </si>
  <si>
    <t>3. Создание условий</t>
  </si>
  <si>
    <r>
      <t xml:space="preserve">3.1. 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</si>
  <si>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3.2.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</si>
  <si>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t>МКОУ Окуневский детский дом "Мечта"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</si>
  <si>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</si>
  <si>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</si>
  <si>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</si>
  <si>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color indexed="8"/>
        <rFont val="Times New Roman"/>
        <family val="1"/>
        <charset val="204"/>
      </rPr>
      <t>привлечение средст</t>
    </r>
  </si>
  <si>
    <t>1.4. Целевое и эффективное использование имеющихся ресурсов - эффективность управления кадровыми ресурсами</t>
  </si>
  <si>
    <t>1.5. Обеспечение государственно-общественного управления</t>
  </si>
  <si>
    <t>1.6. Наличие органов ученического самоуправления</t>
  </si>
  <si>
    <r>
      <t xml:space="preserve">1.7.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</si>
  <si>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</si>
  <si>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color indexed="8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</si>
  <si>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</si>
  <si>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</si>
  <si>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color indexed="8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</si>
  <si>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</si>
  <si>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</si>
  <si>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</si>
  <si>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</si>
  <si>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</si>
  <si>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</si>
  <si>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</si>
  <si>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</si>
  <si>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доля поступивщих в ВУЗы, ССУЗы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</si>
  <si>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вовлеченных в ДОД</t>
    </r>
  </si>
  <si>
    <t>2.Совершенствование условий для социальной адаптации</t>
  </si>
  <si>
    <t>Карпачева Т. И.</t>
  </si>
  <si>
    <t>1. МБОУ "Промышленновская СОШ № 2"</t>
  </si>
  <si>
    <t>4. МБОУ "Заринская СОШ им. М. А. Аверина"</t>
  </si>
  <si>
    <t>7. МБОУ "Тарасовская СОШ"</t>
  </si>
  <si>
    <t>Меренкова С. Ю.</t>
  </si>
  <si>
    <t>8. МОБУ "Промышленновская ООШ № 3"</t>
  </si>
  <si>
    <t>9. МОБУ "Журавлевская ООШ"</t>
  </si>
  <si>
    <t>Морозова И. В.</t>
  </si>
  <si>
    <t xml:space="preserve">Какунина М. А. </t>
  </si>
  <si>
    <t>допл за стаж работы</t>
  </si>
  <si>
    <t>доплата за стаж работы</t>
  </si>
  <si>
    <t>остаток центр фонда</t>
  </si>
  <si>
    <t>остаток цент фонда</t>
  </si>
  <si>
    <t xml:space="preserve">ост центр </t>
  </si>
  <si>
    <t>доплата от должностного оклада до 25% (вновь прибывшие)</t>
  </si>
  <si>
    <t>МАУ "База отдыха "Березка"</t>
  </si>
  <si>
    <t>МБУ "Централизованная бухгалтерия"</t>
  </si>
  <si>
    <t>МБОУ "Центр психолого-медико-социального сопровождения"</t>
  </si>
  <si>
    <t>МБУ "Центр развития образования"</t>
  </si>
  <si>
    <t>Ожогова Е.Н.</t>
  </si>
  <si>
    <t>Тишкина Л. В.</t>
  </si>
  <si>
    <t>Доплата  (с РК) в руб.</t>
  </si>
  <si>
    <t>за развитие сети и обеспечение доступности дошк.образ.</t>
  </si>
  <si>
    <t>за развитие сети (дошкольные группы)</t>
  </si>
  <si>
    <t>За обеспечение подвоза детей</t>
  </si>
  <si>
    <t xml:space="preserve">                                  </t>
  </si>
  <si>
    <t>Доплата за стаж</t>
  </si>
  <si>
    <t>за отдаленность</t>
  </si>
  <si>
    <t>За отдаленность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</si>
  <si>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</si>
  <si>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</si>
  <si>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</si>
  <si>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rFont val="Times New Roman"/>
        <family val="1"/>
        <charset val="204"/>
      </rPr>
      <t>привлечение средст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</si>
  <si>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</si>
  <si>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</si>
  <si>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</si>
  <si>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</si>
  <si>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вовлеченных в ДОД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</si>
  <si>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</si>
  <si>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</si>
  <si>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</si>
  <si>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</si>
  <si>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</si>
  <si>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</si>
  <si>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</si>
  <si>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</si>
  <si>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</si>
  <si>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</si>
  <si>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доля поступивщих в ВУЗы, ССУЗы</t>
    </r>
  </si>
  <si>
    <t>Воронков А.Н.</t>
  </si>
  <si>
    <t>Оклад  в руб</t>
  </si>
  <si>
    <t>оклад  в руб с рк</t>
  </si>
  <si>
    <t>вт.ч.оклад бе р.к.</t>
  </si>
  <si>
    <t>районый коэффиц</t>
  </si>
  <si>
    <t>доплата за звание</t>
  </si>
  <si>
    <t>19. МБОУ "Трудовская оош"</t>
  </si>
  <si>
    <t>Николаева А.Б.</t>
  </si>
  <si>
    <t>Подвоз</t>
  </si>
  <si>
    <t>Еремино,Морозово,Поселок</t>
  </si>
  <si>
    <t>Первомайка,Соревнование,Колычево</t>
  </si>
  <si>
    <t>Шуринка,Пьяново,Шипицино</t>
  </si>
  <si>
    <t>Каменка, Ивано-Родионовск,Лебеди, уфимцево</t>
  </si>
  <si>
    <t>Голубево,Калтышино</t>
  </si>
  <si>
    <t>Байрак, Тарабарино</t>
  </si>
  <si>
    <t>Итого стим выплат</t>
  </si>
  <si>
    <t>■</t>
  </si>
  <si>
    <t>Лебедевская</t>
  </si>
  <si>
    <t>Подкопенное, Корбелкино</t>
  </si>
  <si>
    <t>Протопоповская</t>
  </si>
  <si>
    <t>Цветущий</t>
  </si>
  <si>
    <t>Чернышова Н А</t>
  </si>
  <si>
    <t>Гугунова О. Ю.</t>
  </si>
  <si>
    <t>доплата от должностного оклада 5% от оклада за наличие дополнит фактич адр</t>
  </si>
  <si>
    <t>Головей С. Д.</t>
  </si>
  <si>
    <t>Гракова Н. А.</t>
  </si>
  <si>
    <t>при наличии 1отдельно стоящего здания- 15%</t>
  </si>
  <si>
    <t>при наличии 2 и более отдельно стоящих здания- 20%</t>
  </si>
  <si>
    <t>Крашанинина С.В.</t>
  </si>
  <si>
    <t>Щеглова Л. П.</t>
  </si>
  <si>
    <t>% от оклада</t>
  </si>
  <si>
    <t>за особые условия</t>
  </si>
  <si>
    <t>3 оклада годовых(25% ежемесячно)</t>
  </si>
  <si>
    <t>премия 25% от оклада</t>
  </si>
  <si>
    <t>Эпова М. Г.</t>
  </si>
  <si>
    <t>1. МБДОУ "Вагановский д/с"</t>
  </si>
  <si>
    <t>3. МБДОУ "Голубевский д/с "Улыбка"</t>
  </si>
  <si>
    <t>4. МБДОУ "Ерёминский д/с"</t>
  </si>
  <si>
    <t>5. МБДОУ "Калинкинский д/с"</t>
  </si>
  <si>
    <t>7. МБДОУ "Окуневский д/с "Умка"</t>
  </si>
  <si>
    <t>8. МБДОУ "Озерский д/с"</t>
  </si>
  <si>
    <t>9. МБДОУ "Плотниковский д/с "Теремок"</t>
  </si>
  <si>
    <t>10. МБДОУ "Протопоповский д/с"</t>
  </si>
  <si>
    <t>11. МДБОУ "Тарасовский д/с"</t>
  </si>
  <si>
    <t>12. МБДОУ "Трудовской д/с"</t>
  </si>
  <si>
    <t>в т.ч. стим выплат</t>
  </si>
  <si>
    <t>в том числе стим выплат</t>
  </si>
  <si>
    <t>задолженность по родит пл</t>
  </si>
  <si>
    <t>колич баллов по оцен листам</t>
  </si>
  <si>
    <t>3% за долг по родит плате</t>
  </si>
  <si>
    <t>Итого баллов за минусом 3%</t>
  </si>
  <si>
    <t>Сафронов А.М.</t>
  </si>
  <si>
    <t>Зудина Т.С.</t>
  </si>
  <si>
    <t>оклад+централ фонд полностью</t>
  </si>
  <si>
    <t>2. МБДОУ "Васьковский д/с"</t>
  </si>
  <si>
    <t>1 МОБУ "Журавлевская ООШ"</t>
  </si>
  <si>
    <t>2. МБОУ "Калинкинская ООШ"</t>
  </si>
  <si>
    <t>5. МБОУ "Плотниковская ООШ"</t>
  </si>
  <si>
    <t>6. МБОУ "Протопоповская ООШ"</t>
  </si>
  <si>
    <t>7. МБОУ "Пьяновская ООШ"</t>
  </si>
  <si>
    <t>8. МОБУ "Титовская ООШ"</t>
  </si>
  <si>
    <t>9. МБОУ "Промышленновская СОШ № 2"</t>
  </si>
  <si>
    <t>10. МБОУ "Промышленновская СОШ № 56"</t>
  </si>
  <si>
    <t>11. МБОУ "Вагановская СОШ"</t>
  </si>
  <si>
    <t>12. МБОУ "Заринская СОШ им. М. А. Аверина"</t>
  </si>
  <si>
    <t>13. МБОУ "Окуневская СОШ"</t>
  </si>
  <si>
    <t>14. МБОУ "Падунская СОШ"</t>
  </si>
  <si>
    <t>15. МБОУ "Тарасовская СОШ"</t>
  </si>
  <si>
    <t>Брехт Наталья Николаевна</t>
  </si>
  <si>
    <t>Перфильев А.Н.</t>
  </si>
  <si>
    <t>Горемыкина И.В.</t>
  </si>
  <si>
    <t>Бауман Т.И.</t>
  </si>
  <si>
    <t>Пискунова Е,А.</t>
  </si>
  <si>
    <t>5% за долг по родит плате</t>
  </si>
  <si>
    <t>В т.ч стим выплат</t>
  </si>
  <si>
    <t>за отдаленность раньше  было до 10км-3%, от 10-20км -5%</t>
  </si>
  <si>
    <t>от 20км и выше-10%</t>
  </si>
  <si>
    <t>Савенков П.Г.</t>
  </si>
  <si>
    <t>Дроздова Л.В.</t>
  </si>
  <si>
    <t>Завьялова Т.Б.</t>
  </si>
  <si>
    <t>6. МБДОУ "Каменский д/с"</t>
  </si>
  <si>
    <t>расчет оплаты труда  руководителя с 01.10.2019г.</t>
  </si>
  <si>
    <t>14. МБДОУ "Детский сад "Светлячок"</t>
  </si>
  <si>
    <t>13. МБДОУ "Промышленновский д/с          № 1 "Рябинка"</t>
  </si>
  <si>
    <t>15. МАДОУ Промышленновский д/с "Сказка"</t>
  </si>
  <si>
    <t>3. МБОУ "Краснинская ООШ"</t>
  </si>
  <si>
    <t>4. МБОУ "Лебедевская ООШ"</t>
  </si>
  <si>
    <t>Ефремова Т.Н.</t>
  </si>
  <si>
    <t>расчет оплаты труда  руководителя с  01.10.2019г.</t>
  </si>
  <si>
    <t>1. УДО ДДТ</t>
  </si>
  <si>
    <t>2. МБОУ ДО "ДЮСШ п. Плотниково"</t>
  </si>
  <si>
    <t>МОКУ "Падунская школа-интернат"</t>
  </si>
</sst>
</file>

<file path=xl/styles.xml><?xml version="1.0" encoding="utf-8"?>
<styleSheet xmlns="http://schemas.openxmlformats.org/spreadsheetml/2006/main">
  <numFmts count="1">
    <numFmt numFmtId="172" formatCode="0.0"/>
  </numFmts>
  <fonts count="23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0" xfId="0" applyFont="1"/>
    <xf numFmtId="0" fontId="0" fillId="0" borderId="0" xfId="0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8" fillId="0" borderId="0" xfId="0" applyFont="1" applyFill="1"/>
    <xf numFmtId="0" fontId="7" fillId="0" borderId="0" xfId="0" applyFont="1" applyFill="1"/>
    <xf numFmtId="0" fontId="2" fillId="2" borderId="0" xfId="0" applyFont="1" applyFill="1" applyBorder="1"/>
    <xf numFmtId="0" fontId="13" fillId="0" borderId="0" xfId="0" applyFont="1"/>
    <xf numFmtId="0" fontId="0" fillId="0" borderId="0" xfId="0" applyBorder="1"/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0" xfId="0" applyFill="1"/>
    <xf numFmtId="0" fontId="2" fillId="2" borderId="6" xfId="0" applyFont="1" applyFill="1" applyBorder="1"/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4" fillId="2" borderId="1" xfId="0" applyFont="1" applyFill="1" applyBorder="1"/>
    <xf numFmtId="0" fontId="14" fillId="2" borderId="11" xfId="0" applyFont="1" applyFill="1" applyBorder="1"/>
    <xf numFmtId="0" fontId="14" fillId="2" borderId="12" xfId="0" applyFont="1" applyFill="1" applyBorder="1"/>
    <xf numFmtId="0" fontId="16" fillId="2" borderId="13" xfId="0" applyFont="1" applyFill="1" applyBorder="1"/>
    <xf numFmtId="0" fontId="16" fillId="2" borderId="13" xfId="0" applyFont="1" applyFill="1" applyBorder="1"/>
    <xf numFmtId="0" fontId="16" fillId="2" borderId="1" xfId="0" applyFont="1" applyFill="1" applyBorder="1"/>
    <xf numFmtId="2" fontId="16" fillId="2" borderId="13" xfId="0" applyNumberFormat="1" applyFont="1" applyFill="1" applyBorder="1"/>
    <xf numFmtId="0" fontId="16" fillId="2" borderId="14" xfId="0" applyFont="1" applyFill="1" applyBorder="1"/>
    <xf numFmtId="2" fontId="16" fillId="2" borderId="14" xfId="0" applyNumberFormat="1" applyFont="1" applyFill="1" applyBorder="1"/>
    <xf numFmtId="2" fontId="16" fillId="2" borderId="15" xfId="0" applyNumberFormat="1" applyFont="1" applyFill="1" applyBorder="1"/>
    <xf numFmtId="0" fontId="16" fillId="2" borderId="15" xfId="0" applyFont="1" applyFill="1" applyBorder="1"/>
    <xf numFmtId="2" fontId="17" fillId="2" borderId="3" xfId="0" applyNumberFormat="1" applyFont="1" applyFill="1" applyBorder="1" applyAlignment="1">
      <alignment vertical="top" wrapText="1"/>
    </xf>
    <xf numFmtId="2" fontId="15" fillId="2" borderId="3" xfId="0" applyNumberFormat="1" applyFont="1" applyFill="1" applyBorder="1"/>
    <xf numFmtId="2" fontId="0" fillId="2" borderId="3" xfId="0" applyNumberFormat="1" applyFill="1" applyBorder="1"/>
    <xf numFmtId="0" fontId="16" fillId="2" borderId="3" xfId="0" applyFont="1" applyFill="1" applyBorder="1"/>
    <xf numFmtId="0" fontId="16" fillId="2" borderId="0" xfId="0" applyFont="1" applyFill="1"/>
    <xf numFmtId="0" fontId="14" fillId="2" borderId="16" xfId="0" applyFont="1" applyFill="1" applyBorder="1"/>
    <xf numFmtId="0" fontId="14" fillId="2" borderId="17" xfId="0" applyFont="1" applyFill="1" applyBorder="1"/>
    <xf numFmtId="0" fontId="14" fillId="2" borderId="18" xfId="0" applyFont="1" applyFill="1" applyBorder="1"/>
    <xf numFmtId="0" fontId="16" fillId="2" borderId="16" xfId="0" applyFont="1" applyFill="1" applyBorder="1"/>
    <xf numFmtId="0" fontId="16" fillId="2" borderId="16" xfId="0" applyFont="1" applyFill="1" applyBorder="1"/>
    <xf numFmtId="2" fontId="16" fillId="2" borderId="16" xfId="0" applyNumberFormat="1" applyFont="1" applyFill="1" applyBorder="1"/>
    <xf numFmtId="0" fontId="16" fillId="2" borderId="19" xfId="0" applyFont="1" applyFill="1" applyBorder="1"/>
    <xf numFmtId="2" fontId="16" fillId="2" borderId="19" xfId="0" applyNumberFormat="1" applyFont="1" applyFill="1" applyBorder="1"/>
    <xf numFmtId="2" fontId="16" fillId="2" borderId="10" xfId="0" applyNumberFormat="1" applyFont="1" applyFill="1" applyBorder="1"/>
    <xf numFmtId="0" fontId="16" fillId="2" borderId="6" xfId="0" applyFont="1" applyFill="1" applyBorder="1"/>
    <xf numFmtId="2" fontId="16" fillId="2" borderId="3" xfId="0" applyNumberFormat="1" applyFont="1" applyFill="1" applyBorder="1"/>
    <xf numFmtId="0" fontId="16" fillId="2" borderId="20" xfId="0" applyFont="1" applyFill="1" applyBorder="1"/>
    <xf numFmtId="0" fontId="14" fillId="2" borderId="13" xfId="0" applyFont="1" applyFill="1" applyBorder="1"/>
    <xf numFmtId="0" fontId="14" fillId="2" borderId="21" xfId="0" applyFont="1" applyFill="1" applyBorder="1"/>
    <xf numFmtId="0" fontId="14" fillId="2" borderId="22" xfId="0" applyFont="1" applyFill="1" applyBorder="1"/>
    <xf numFmtId="0" fontId="14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14" fillId="2" borderId="2" xfId="0" applyFont="1" applyFill="1" applyBorder="1" applyAlignment="1">
      <alignment wrapText="1"/>
    </xf>
    <xf numFmtId="0" fontId="3" fillId="2" borderId="0" xfId="0" applyFont="1" applyFill="1"/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top" wrapText="1"/>
    </xf>
    <xf numFmtId="2" fontId="20" fillId="2" borderId="3" xfId="0" applyNumberFormat="1" applyFont="1" applyFill="1" applyBorder="1" applyAlignment="1">
      <alignment vertical="top" wrapText="1"/>
    </xf>
    <xf numFmtId="2" fontId="20" fillId="2" borderId="3" xfId="0" applyNumberFormat="1" applyFont="1" applyFill="1" applyBorder="1"/>
    <xf numFmtId="0" fontId="16" fillId="2" borderId="3" xfId="0" applyFont="1" applyFill="1" applyBorder="1"/>
    <xf numFmtId="1" fontId="16" fillId="2" borderId="13" xfId="0" applyNumberFormat="1" applyFont="1" applyFill="1" applyBorder="1"/>
    <xf numFmtId="1" fontId="16" fillId="2" borderId="15" xfId="0" applyNumberFormat="1" applyFont="1" applyFill="1" applyBorder="1"/>
    <xf numFmtId="0" fontId="16" fillId="2" borderId="3" xfId="0" applyFont="1" applyFill="1" applyBorder="1" applyAlignment="1">
      <alignment vertical="center" wrapText="1"/>
    </xf>
    <xf numFmtId="2" fontId="16" fillId="2" borderId="3" xfId="0" applyNumberFormat="1" applyFont="1" applyFill="1" applyBorder="1" applyAlignment="1">
      <alignment vertical="center" wrapText="1"/>
    </xf>
    <xf numFmtId="0" fontId="18" fillId="2" borderId="14" xfId="0" applyFont="1" applyFill="1" applyBorder="1"/>
    <xf numFmtId="0" fontId="14" fillId="2" borderId="3" xfId="0" applyFont="1" applyFill="1" applyBorder="1" applyAlignment="1">
      <alignment wrapText="1"/>
    </xf>
    <xf numFmtId="0" fontId="14" fillId="2" borderId="13" xfId="0" applyFont="1" applyFill="1" applyBorder="1" applyAlignment="1">
      <alignment wrapText="1"/>
    </xf>
    <xf numFmtId="0" fontId="4" fillId="2" borderId="2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16" fillId="2" borderId="11" xfId="0" applyFont="1" applyFill="1" applyBorder="1"/>
    <xf numFmtId="0" fontId="16" fillId="2" borderId="12" xfId="0" applyFont="1" applyFill="1" applyBorder="1"/>
    <xf numFmtId="0" fontId="3" fillId="2" borderId="13" xfId="0" applyFont="1" applyFill="1" applyBorder="1"/>
    <xf numFmtId="2" fontId="16" fillId="2" borderId="15" xfId="0" applyNumberFormat="1" applyFont="1" applyFill="1" applyBorder="1" applyAlignment="1">
      <alignment vertical="top" wrapText="1"/>
    </xf>
    <xf numFmtId="0" fontId="0" fillId="2" borderId="3" xfId="0" applyFill="1" applyBorder="1"/>
    <xf numFmtId="2" fontId="0" fillId="2" borderId="0" xfId="0" applyNumberFormat="1" applyFill="1"/>
    <xf numFmtId="0" fontId="4" fillId="2" borderId="7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6" fillId="2" borderId="21" xfId="0" applyFont="1" applyFill="1" applyBorder="1"/>
    <xf numFmtId="0" fontId="16" fillId="2" borderId="22" xfId="0" applyFont="1" applyFill="1" applyBorder="1"/>
    <xf numFmtId="2" fontId="20" fillId="2" borderId="15" xfId="0" applyNumberFormat="1" applyFont="1" applyFill="1" applyBorder="1" applyAlignment="1">
      <alignment vertical="top" wrapText="1"/>
    </xf>
    <xf numFmtId="2" fontId="0" fillId="2" borderId="3" xfId="0" applyNumberForma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21" xfId="0" applyFont="1" applyFill="1" applyBorder="1" applyAlignment="1">
      <alignment vertical="top"/>
    </xf>
    <xf numFmtId="0" fontId="2" fillId="2" borderId="22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16" fillId="2" borderId="13" xfId="0" applyFont="1" applyFill="1" applyBorder="1" applyAlignment="1">
      <alignment vertical="top"/>
    </xf>
    <xf numFmtId="2" fontId="16" fillId="2" borderId="13" xfId="0" applyNumberFormat="1" applyFont="1" applyFill="1" applyBorder="1" applyAlignment="1">
      <alignment vertical="top"/>
    </xf>
    <xf numFmtId="2" fontId="16" fillId="2" borderId="15" xfId="0" applyNumberFormat="1" applyFont="1" applyFill="1" applyBorder="1" applyAlignment="1">
      <alignment vertical="top"/>
    </xf>
    <xf numFmtId="2" fontId="21" fillId="2" borderId="15" xfId="0" applyNumberFormat="1" applyFont="1" applyFill="1" applyBorder="1" applyAlignment="1">
      <alignment vertical="top" wrapText="1"/>
    </xf>
    <xf numFmtId="2" fontId="21" fillId="2" borderId="3" xfId="0" applyNumberFormat="1" applyFont="1" applyFill="1" applyBorder="1" applyAlignment="1">
      <alignment vertical="top" wrapText="1"/>
    </xf>
    <xf numFmtId="0" fontId="9" fillId="2" borderId="4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top" wrapText="1"/>
    </xf>
    <xf numFmtId="0" fontId="6" fillId="2" borderId="26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27" xfId="0" applyFont="1" applyFill="1" applyBorder="1" applyAlignment="1">
      <alignment vertical="top" wrapText="1"/>
    </xf>
    <xf numFmtId="0" fontId="6" fillId="2" borderId="28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3" xfId="0" applyFont="1" applyFill="1" applyBorder="1" applyAlignment="1">
      <alignment vertical="top"/>
    </xf>
    <xf numFmtId="0" fontId="6" fillId="2" borderId="13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21" xfId="0" applyFont="1" applyFill="1" applyBorder="1" applyAlignment="1">
      <alignment vertical="top"/>
    </xf>
    <xf numFmtId="0" fontId="6" fillId="2" borderId="22" xfId="0" applyFont="1" applyFill="1" applyBorder="1" applyAlignment="1">
      <alignment vertical="top"/>
    </xf>
    <xf numFmtId="0" fontId="10" fillId="2" borderId="13" xfId="0" applyFont="1" applyFill="1" applyBorder="1" applyAlignment="1">
      <alignment vertical="top"/>
    </xf>
    <xf numFmtId="0" fontId="12" fillId="2" borderId="13" xfId="0" applyFont="1" applyFill="1" applyBorder="1" applyAlignment="1">
      <alignment horizontal="right" vertical="center"/>
    </xf>
    <xf numFmtId="0" fontId="12" fillId="2" borderId="15" xfId="0" applyFont="1" applyFill="1" applyBorder="1" applyAlignment="1">
      <alignment horizontal="right" vertical="center"/>
    </xf>
    <xf numFmtId="2" fontId="12" fillId="2" borderId="3" xfId="0" applyNumberFormat="1" applyFont="1" applyFill="1" applyBorder="1" applyAlignment="1">
      <alignment horizontal="right" vertical="center"/>
    </xf>
    <xf numFmtId="2" fontId="12" fillId="2" borderId="21" xfId="0" applyNumberFormat="1" applyFont="1" applyFill="1" applyBorder="1" applyAlignment="1">
      <alignment horizontal="right" vertical="center"/>
    </xf>
    <xf numFmtId="1" fontId="12" fillId="2" borderId="21" xfId="0" applyNumberFormat="1" applyFont="1" applyFill="1" applyBorder="1" applyAlignment="1">
      <alignment horizontal="right" vertical="center"/>
    </xf>
    <xf numFmtId="2" fontId="12" fillId="2" borderId="3" xfId="0" applyNumberFormat="1" applyFont="1" applyFill="1" applyBorder="1" applyAlignment="1">
      <alignment horizontal="right" vertical="center" wrapText="1"/>
    </xf>
    <xf numFmtId="0" fontId="12" fillId="2" borderId="3" xfId="0" applyFont="1" applyFill="1" applyBorder="1"/>
    <xf numFmtId="0" fontId="7" fillId="2" borderId="3" xfId="0" applyFont="1" applyFill="1" applyBorder="1"/>
    <xf numFmtId="2" fontId="12" fillId="2" borderId="13" xfId="0" applyNumberFormat="1" applyFont="1" applyFill="1" applyBorder="1" applyAlignment="1">
      <alignment horizontal="right" vertical="center"/>
    </xf>
    <xf numFmtId="1" fontId="12" fillId="2" borderId="3" xfId="0" applyNumberFormat="1" applyFont="1" applyFill="1" applyBorder="1" applyAlignment="1">
      <alignment horizontal="right" vertical="center"/>
    </xf>
    <xf numFmtId="1" fontId="12" fillId="2" borderId="20" xfId="0" applyNumberFormat="1" applyFont="1" applyFill="1" applyBorder="1" applyAlignment="1">
      <alignment horizontal="right" vertical="center"/>
    </xf>
    <xf numFmtId="2" fontId="12" fillId="2" borderId="20" xfId="0" applyNumberFormat="1" applyFont="1" applyFill="1" applyBorder="1" applyAlignment="1">
      <alignment horizontal="right" vertical="center"/>
    </xf>
    <xf numFmtId="2" fontId="12" fillId="2" borderId="3" xfId="0" applyNumberFormat="1" applyFont="1" applyFill="1" applyBorder="1"/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right" vertical="center"/>
    </xf>
    <xf numFmtId="0" fontId="12" fillId="2" borderId="21" xfId="0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right" vertical="center"/>
    </xf>
    <xf numFmtId="172" fontId="12" fillId="2" borderId="20" xfId="0" applyNumberFormat="1" applyFont="1" applyFill="1" applyBorder="1" applyAlignment="1">
      <alignment horizontal="right" vertical="center"/>
    </xf>
    <xf numFmtId="0" fontId="18" fillId="2" borderId="3" xfId="0" applyFont="1" applyFill="1" applyBorder="1"/>
    <xf numFmtId="0" fontId="19" fillId="2" borderId="3" xfId="0" applyFont="1" applyFill="1" applyBorder="1"/>
    <xf numFmtId="0" fontId="18" fillId="2" borderId="3" xfId="0" applyFont="1" applyFill="1" applyBorder="1"/>
    <xf numFmtId="0" fontId="18" fillId="2" borderId="3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right" vertical="center"/>
    </xf>
    <xf numFmtId="0" fontId="18" fillId="2" borderId="21" xfId="0" applyFont="1" applyFill="1" applyBorder="1" applyAlignment="1">
      <alignment horizontal="right" vertical="center"/>
    </xf>
    <xf numFmtId="0" fontId="18" fillId="2" borderId="20" xfId="0" applyFont="1" applyFill="1" applyBorder="1" applyAlignment="1">
      <alignment horizontal="right" vertical="center"/>
    </xf>
    <xf numFmtId="2" fontId="18" fillId="2" borderId="3" xfId="0" applyNumberFormat="1" applyFont="1" applyFill="1" applyBorder="1" applyAlignment="1">
      <alignment horizontal="right" vertical="center"/>
    </xf>
    <xf numFmtId="2" fontId="18" fillId="2" borderId="21" xfId="0" applyNumberFormat="1" applyFont="1" applyFill="1" applyBorder="1" applyAlignment="1">
      <alignment horizontal="right" vertical="center" wrapText="1"/>
    </xf>
    <xf numFmtId="2" fontId="18" fillId="2" borderId="3" xfId="0" applyNumberFormat="1" applyFont="1" applyFill="1" applyBorder="1" applyAlignment="1">
      <alignment horizontal="right" vertical="center" wrapText="1"/>
    </xf>
    <xf numFmtId="0" fontId="6" fillId="2" borderId="16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68"/>
  <sheetViews>
    <sheetView zoomScale="75" zoomScaleNormal="75" zoomScaleSheetLayoutView="75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Q1" sqref="Q1"/>
    </sheetView>
  </sheetViews>
  <sheetFormatPr defaultRowHeight="15"/>
  <cols>
    <col min="1" max="1" width="40.42578125" customWidth="1"/>
    <col min="2" max="2" width="21" customWidth="1"/>
    <col min="3" max="3" width="13.42578125" hidden="1" customWidth="1"/>
    <col min="4" max="4" width="14.5703125" hidden="1" customWidth="1"/>
    <col min="5" max="5" width="16.140625" hidden="1" customWidth="1"/>
    <col min="6" max="6" width="12.85546875" hidden="1" customWidth="1"/>
    <col min="7" max="7" width="9.5703125" hidden="1" customWidth="1"/>
    <col min="8" max="8" width="10" hidden="1" customWidth="1"/>
    <col min="9" max="9" width="13.5703125" customWidth="1"/>
    <col min="10" max="10" width="9.7109375" customWidth="1"/>
    <col min="11" max="11" width="9" customWidth="1"/>
    <col min="12" max="12" width="8.28515625" customWidth="1"/>
    <col min="13" max="13" width="8.5703125" customWidth="1"/>
    <col min="14" max="14" width="8.85546875" customWidth="1"/>
    <col min="15" max="15" width="12.28515625" customWidth="1"/>
    <col min="16" max="16" width="7.5703125" customWidth="1"/>
    <col min="17" max="17" width="11.7109375" customWidth="1"/>
    <col min="18" max="18" width="11.28515625" customWidth="1"/>
    <col min="19" max="19" width="10.5703125" customWidth="1"/>
    <col min="20" max="20" width="12.28515625" customWidth="1"/>
    <col min="21" max="21" width="1" hidden="1" customWidth="1"/>
    <col min="22" max="22" width="8.140625" customWidth="1"/>
    <col min="23" max="23" width="11.28515625" hidden="1" customWidth="1"/>
    <col min="24" max="25" width="11.140625" customWidth="1"/>
    <col min="26" max="26" width="15.140625" customWidth="1"/>
    <col min="27" max="27" width="11.5703125" hidden="1" customWidth="1"/>
    <col min="28" max="28" width="12.42578125" hidden="1" customWidth="1"/>
    <col min="29" max="29" width="11.28515625" hidden="1" customWidth="1"/>
  </cols>
  <sheetData>
    <row r="1" spans="1:29" ht="18.75">
      <c r="A1" s="1" t="s">
        <v>192</v>
      </c>
      <c r="B1" s="1"/>
      <c r="C1" s="1"/>
      <c r="D1" s="1"/>
      <c r="E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62.25" customHeight="1" thickBot="1">
      <c r="Q2" s="9" t="s">
        <v>127</v>
      </c>
      <c r="T2" s="9" t="s">
        <v>127</v>
      </c>
      <c r="AA2" s="9" t="s">
        <v>127</v>
      </c>
    </row>
    <row r="3" spans="1:29" s="15" customFormat="1" ht="49.5" customHeight="1" thickBot="1">
      <c r="A3" s="11" t="s">
        <v>0</v>
      </c>
      <c r="B3" s="11" t="s">
        <v>1</v>
      </c>
      <c r="C3" s="162" t="s">
        <v>3</v>
      </c>
      <c r="D3" s="163"/>
      <c r="E3" s="162" t="s">
        <v>6</v>
      </c>
      <c r="F3" s="164"/>
      <c r="G3" s="164"/>
      <c r="H3" s="163"/>
      <c r="I3" s="158" t="s">
        <v>158</v>
      </c>
      <c r="J3" s="158" t="s">
        <v>159</v>
      </c>
      <c r="K3" s="158" t="s">
        <v>160</v>
      </c>
      <c r="L3" s="165" t="s">
        <v>161</v>
      </c>
      <c r="M3" s="158" t="s">
        <v>12</v>
      </c>
      <c r="N3" s="160" t="s">
        <v>13</v>
      </c>
      <c r="O3" s="160" t="s">
        <v>14</v>
      </c>
      <c r="P3" s="12" t="s">
        <v>71</v>
      </c>
      <c r="Q3" s="169" t="s">
        <v>112</v>
      </c>
      <c r="R3" s="169"/>
      <c r="S3" s="169"/>
      <c r="T3" s="169" t="s">
        <v>116</v>
      </c>
      <c r="U3" s="171" t="s">
        <v>84</v>
      </c>
      <c r="V3" s="13" t="s">
        <v>89</v>
      </c>
      <c r="W3" s="160" t="s">
        <v>76</v>
      </c>
      <c r="X3" s="173" t="s">
        <v>137</v>
      </c>
      <c r="Y3" s="174" t="s">
        <v>138</v>
      </c>
      <c r="Z3" s="14" t="s">
        <v>15</v>
      </c>
      <c r="AA3" s="167" t="s">
        <v>156</v>
      </c>
      <c r="AB3" s="169" t="s">
        <v>73</v>
      </c>
      <c r="AC3" s="170" t="s">
        <v>164</v>
      </c>
    </row>
    <row r="4" spans="1:29" s="15" customFormat="1" ht="72.75" customHeight="1" thickBot="1">
      <c r="A4" s="16"/>
      <c r="B4" s="16"/>
      <c r="C4" s="17" t="s">
        <v>4</v>
      </c>
      <c r="D4" s="18" t="s">
        <v>5</v>
      </c>
      <c r="E4" s="18" t="s">
        <v>7</v>
      </c>
      <c r="F4" s="19" t="s">
        <v>8</v>
      </c>
      <c r="G4" s="18" t="s">
        <v>9</v>
      </c>
      <c r="H4" s="18" t="s">
        <v>10</v>
      </c>
      <c r="I4" s="159"/>
      <c r="J4" s="159"/>
      <c r="K4" s="159"/>
      <c r="L4" s="166"/>
      <c r="M4" s="159"/>
      <c r="N4" s="161"/>
      <c r="O4" s="161"/>
      <c r="P4" s="20"/>
      <c r="Q4" s="21" t="s">
        <v>113</v>
      </c>
      <c r="R4" s="21" t="s">
        <v>114</v>
      </c>
      <c r="S4" s="21" t="s">
        <v>115</v>
      </c>
      <c r="T4" s="169"/>
      <c r="U4" s="172"/>
      <c r="V4" s="20"/>
      <c r="W4" s="161"/>
      <c r="X4" s="173"/>
      <c r="Y4" s="174"/>
      <c r="Z4" s="14"/>
      <c r="AA4" s="168"/>
      <c r="AB4" s="169"/>
      <c r="AC4" s="170"/>
    </row>
    <row r="5" spans="1:29" s="15" customFormat="1" ht="31.9" customHeight="1">
      <c r="A5" s="22" t="s">
        <v>146</v>
      </c>
      <c r="B5" s="22" t="s">
        <v>16</v>
      </c>
      <c r="C5" s="23">
        <v>24</v>
      </c>
      <c r="D5" s="22">
        <v>5</v>
      </c>
      <c r="E5" s="22"/>
      <c r="F5" s="24">
        <v>5</v>
      </c>
      <c r="G5" s="22">
        <v>0</v>
      </c>
      <c r="H5" s="22">
        <v>10</v>
      </c>
      <c r="I5" s="25">
        <v>10357.52</v>
      </c>
      <c r="J5" s="26">
        <v>60</v>
      </c>
      <c r="K5" s="25">
        <f>SUM(J5*5/100)</f>
        <v>3</v>
      </c>
      <c r="L5" s="25">
        <f>SUM(J5-K5)</f>
        <v>57</v>
      </c>
      <c r="M5" s="27">
        <v>16351</v>
      </c>
      <c r="N5" s="25">
        <f t="shared" ref="N5:N18" si="0">SUM(M5/100)</f>
        <v>163.51</v>
      </c>
      <c r="O5" s="28">
        <f t="shared" ref="O5:O18" si="1">SUM(N5*L5)</f>
        <v>9320.07</v>
      </c>
      <c r="P5" s="29"/>
      <c r="Q5" s="30">
        <v>29734.99</v>
      </c>
      <c r="R5" s="31">
        <f t="shared" ref="R5:R18" si="2">SUM(Q5/1.3)</f>
        <v>22873.06923076923</v>
      </c>
      <c r="S5" s="31">
        <f t="shared" ref="S5:S18" si="3">SUM(Q5-R5)</f>
        <v>6861.9207692307718</v>
      </c>
      <c r="T5" s="32"/>
      <c r="U5" s="32"/>
      <c r="V5" s="32">
        <v>500</v>
      </c>
      <c r="W5" s="32">
        <v>0</v>
      </c>
      <c r="X5" s="31">
        <f>SUM(Q5*15%)</f>
        <v>4460.2484999999997</v>
      </c>
      <c r="Y5" s="32"/>
      <c r="Z5" s="33">
        <f>SUM(O5+P5+Q5+T5+U5+V5+W5+X5+Y5)</f>
        <v>44015.308499999999</v>
      </c>
      <c r="AA5" s="33">
        <f>SUM(O5+P5+U5+V5+W5+X5+Y5)</f>
        <v>14280.318499999999</v>
      </c>
      <c r="AB5" s="34">
        <f>SUM(M5-O5-P5-U5-V5-W5-X5-Y5)</f>
        <v>2070.6815000000006</v>
      </c>
      <c r="AC5" s="35">
        <f>SUM(M5+Q5+T5)</f>
        <v>46085.990000000005</v>
      </c>
    </row>
    <row r="6" spans="1:29" s="15" customFormat="1" ht="31.9" customHeight="1">
      <c r="A6" s="22" t="s">
        <v>165</v>
      </c>
      <c r="B6" s="22" t="s">
        <v>17</v>
      </c>
      <c r="C6" s="23">
        <v>8</v>
      </c>
      <c r="D6" s="22">
        <v>0</v>
      </c>
      <c r="E6" s="22">
        <v>0</v>
      </c>
      <c r="F6" s="24">
        <v>0</v>
      </c>
      <c r="G6" s="22">
        <v>0</v>
      </c>
      <c r="H6" s="22">
        <v>0</v>
      </c>
      <c r="I6" s="25">
        <v>71968.23</v>
      </c>
      <c r="J6" s="26">
        <v>75</v>
      </c>
      <c r="K6" s="25">
        <f t="shared" ref="K6:K18" si="4">SUM(J6*5/100)</f>
        <v>3.75</v>
      </c>
      <c r="L6" s="25">
        <f t="shared" ref="L6:L18" si="5">SUM(J6-K6)</f>
        <v>71.25</v>
      </c>
      <c r="M6" s="27">
        <v>15137</v>
      </c>
      <c r="N6" s="25">
        <f t="shared" si="0"/>
        <v>151.37</v>
      </c>
      <c r="O6" s="28">
        <f t="shared" si="1"/>
        <v>10785.112500000001</v>
      </c>
      <c r="P6" s="29"/>
      <c r="Q6" s="30">
        <v>29714.69</v>
      </c>
      <c r="R6" s="31">
        <f t="shared" si="2"/>
        <v>22857.453846153843</v>
      </c>
      <c r="S6" s="31">
        <f t="shared" si="3"/>
        <v>6857.2361538461555</v>
      </c>
      <c r="T6" s="32"/>
      <c r="U6" s="32"/>
      <c r="V6" s="32">
        <v>500</v>
      </c>
      <c r="W6" s="32">
        <v>0</v>
      </c>
      <c r="X6" s="31">
        <f>SUM(Q6*15%)-605.32</f>
        <v>3851.8834999999995</v>
      </c>
      <c r="Y6" s="32"/>
      <c r="Z6" s="33">
        <f>SUM(O6+P6+Q6+T6+U6+V6+W6+X6+Y6)-0.01</f>
        <v>44851.675999999992</v>
      </c>
      <c r="AA6" s="33">
        <f t="shared" ref="AA6:AA19" si="6">SUM(O6+P6+U6+V6+W6+X6+Y6)</f>
        <v>15136.996000000001</v>
      </c>
      <c r="AB6" s="34">
        <f t="shared" ref="AB6:AB19" si="7">SUM(M6-O6-P6-U6-V6-W6-X6-Y6)</f>
        <v>3.9999999994506652E-3</v>
      </c>
      <c r="AC6" s="35">
        <f t="shared" ref="AC6:AC19" si="8">SUM(M6+Q6+T6)</f>
        <v>44851.69</v>
      </c>
    </row>
    <row r="7" spans="1:29" s="15" customFormat="1" ht="31.9" customHeight="1">
      <c r="A7" s="22" t="s">
        <v>147</v>
      </c>
      <c r="B7" s="22" t="s">
        <v>18</v>
      </c>
      <c r="C7" s="23">
        <v>16</v>
      </c>
      <c r="D7" s="22">
        <v>0</v>
      </c>
      <c r="E7" s="22">
        <v>10</v>
      </c>
      <c r="F7" s="24">
        <v>5</v>
      </c>
      <c r="G7" s="22">
        <v>0</v>
      </c>
      <c r="H7" s="22">
        <v>10</v>
      </c>
      <c r="I7" s="25">
        <v>2945.88</v>
      </c>
      <c r="J7" s="26">
        <v>35</v>
      </c>
      <c r="K7" s="25">
        <f t="shared" si="4"/>
        <v>1.75</v>
      </c>
      <c r="L7" s="25">
        <f t="shared" si="5"/>
        <v>33.25</v>
      </c>
      <c r="M7" s="27">
        <v>2817</v>
      </c>
      <c r="N7" s="25">
        <f t="shared" si="0"/>
        <v>28.17</v>
      </c>
      <c r="O7" s="28">
        <f t="shared" si="1"/>
        <v>936.65250000000003</v>
      </c>
      <c r="P7" s="29"/>
      <c r="Q7" s="30">
        <v>17758.61</v>
      </c>
      <c r="R7" s="31">
        <f t="shared" si="2"/>
        <v>13660.469230769231</v>
      </c>
      <c r="S7" s="31">
        <f t="shared" si="3"/>
        <v>4098.1407692307694</v>
      </c>
      <c r="T7" s="32"/>
      <c r="U7" s="32"/>
      <c r="V7" s="32">
        <v>500</v>
      </c>
      <c r="W7" s="32">
        <v>0</v>
      </c>
      <c r="X7" s="31"/>
      <c r="Y7" s="32"/>
      <c r="Z7" s="33">
        <f t="shared" ref="Z7:Z16" si="9">SUM(O7+P7+Q7+T7+U7+V7+W7+X7+Y7)</f>
        <v>19195.262500000001</v>
      </c>
      <c r="AA7" s="33">
        <f t="shared" si="6"/>
        <v>1436.6525000000001</v>
      </c>
      <c r="AB7" s="34">
        <f t="shared" si="7"/>
        <v>1380.3474999999999</v>
      </c>
      <c r="AC7" s="35">
        <f t="shared" si="8"/>
        <v>20575.61</v>
      </c>
    </row>
    <row r="8" spans="1:29" s="15" customFormat="1" ht="31.9" customHeight="1">
      <c r="A8" s="22" t="s">
        <v>148</v>
      </c>
      <c r="B8" s="22" t="s">
        <v>22</v>
      </c>
      <c r="C8" s="23">
        <v>16</v>
      </c>
      <c r="D8" s="22">
        <v>0</v>
      </c>
      <c r="E8" s="22">
        <v>0</v>
      </c>
      <c r="F8" s="24">
        <v>0</v>
      </c>
      <c r="G8" s="22">
        <v>0</v>
      </c>
      <c r="H8" s="22">
        <v>0</v>
      </c>
      <c r="I8" s="25">
        <v>18983.39</v>
      </c>
      <c r="J8" s="26">
        <v>40</v>
      </c>
      <c r="K8" s="25">
        <f t="shared" si="4"/>
        <v>2</v>
      </c>
      <c r="L8" s="25">
        <f t="shared" si="5"/>
        <v>38</v>
      </c>
      <c r="M8" s="27">
        <v>3558</v>
      </c>
      <c r="N8" s="25">
        <f t="shared" si="0"/>
        <v>35.58</v>
      </c>
      <c r="O8" s="28">
        <f t="shared" si="1"/>
        <v>1352.04</v>
      </c>
      <c r="P8" s="29"/>
      <c r="Q8" s="30">
        <v>17695.82</v>
      </c>
      <c r="R8" s="31">
        <f t="shared" si="2"/>
        <v>13612.16923076923</v>
      </c>
      <c r="S8" s="31">
        <f t="shared" si="3"/>
        <v>4083.6507692307696</v>
      </c>
      <c r="T8" s="32"/>
      <c r="U8" s="32"/>
      <c r="V8" s="32">
        <v>500</v>
      </c>
      <c r="W8" s="32">
        <v>0</v>
      </c>
      <c r="X8" s="31"/>
      <c r="Y8" s="32"/>
      <c r="Z8" s="33">
        <f t="shared" si="9"/>
        <v>19547.86</v>
      </c>
      <c r="AA8" s="33">
        <f t="shared" si="6"/>
        <v>1852.04</v>
      </c>
      <c r="AB8" s="34">
        <f t="shared" si="7"/>
        <v>1705.96</v>
      </c>
      <c r="AC8" s="35">
        <f t="shared" si="8"/>
        <v>21253.82</v>
      </c>
    </row>
    <row r="9" spans="1:29" s="15" customFormat="1" ht="31.9" customHeight="1">
      <c r="A9" s="22" t="s">
        <v>149</v>
      </c>
      <c r="B9" s="22" t="s">
        <v>19</v>
      </c>
      <c r="C9" s="23">
        <v>16</v>
      </c>
      <c r="D9" s="22">
        <v>0</v>
      </c>
      <c r="E9" s="22"/>
      <c r="F9" s="24"/>
      <c r="G9" s="22">
        <v>10</v>
      </c>
      <c r="H9" s="22">
        <v>0</v>
      </c>
      <c r="I9" s="25">
        <v>32308.86</v>
      </c>
      <c r="J9" s="26">
        <v>60</v>
      </c>
      <c r="K9" s="25">
        <f t="shared" si="4"/>
        <v>3</v>
      </c>
      <c r="L9" s="25">
        <f t="shared" si="5"/>
        <v>57</v>
      </c>
      <c r="M9" s="27">
        <v>3564</v>
      </c>
      <c r="N9" s="25">
        <f t="shared" si="0"/>
        <v>35.64</v>
      </c>
      <c r="O9" s="28">
        <f t="shared" si="1"/>
        <v>2031.48</v>
      </c>
      <c r="P9" s="29"/>
      <c r="Q9" s="30">
        <v>28526.15</v>
      </c>
      <c r="R9" s="31">
        <f t="shared" si="2"/>
        <v>21943.192307692309</v>
      </c>
      <c r="S9" s="31">
        <f t="shared" si="3"/>
        <v>6582.9576923076929</v>
      </c>
      <c r="T9" s="32"/>
      <c r="U9" s="32"/>
      <c r="V9" s="32">
        <f>500</f>
        <v>500</v>
      </c>
      <c r="W9" s="32">
        <v>0</v>
      </c>
      <c r="X9" s="31"/>
      <c r="Y9" s="32"/>
      <c r="Z9" s="33">
        <f t="shared" si="9"/>
        <v>31057.63</v>
      </c>
      <c r="AA9" s="33">
        <f t="shared" si="6"/>
        <v>2531.48</v>
      </c>
      <c r="AB9" s="34">
        <f t="shared" si="7"/>
        <v>1032.52</v>
      </c>
      <c r="AC9" s="35">
        <f t="shared" si="8"/>
        <v>32090.15</v>
      </c>
    </row>
    <row r="10" spans="1:29" s="15" customFormat="1" ht="31.9" customHeight="1">
      <c r="A10" s="22" t="s">
        <v>191</v>
      </c>
      <c r="B10" s="22"/>
      <c r="C10" s="23"/>
      <c r="D10" s="22"/>
      <c r="E10" s="22"/>
      <c r="F10" s="24"/>
      <c r="G10" s="22"/>
      <c r="H10" s="22"/>
      <c r="I10" s="25"/>
      <c r="J10" s="25"/>
      <c r="K10" s="25"/>
      <c r="L10" s="25"/>
      <c r="M10" s="27"/>
      <c r="N10" s="25"/>
      <c r="O10" s="28"/>
      <c r="P10" s="29"/>
      <c r="Q10" s="30"/>
      <c r="R10" s="31"/>
      <c r="S10" s="31"/>
      <c r="T10" s="31"/>
      <c r="U10" s="32"/>
      <c r="V10" s="32"/>
      <c r="W10" s="32"/>
      <c r="X10" s="31"/>
      <c r="Y10" s="32"/>
      <c r="Z10" s="33"/>
      <c r="AA10" s="33">
        <f t="shared" si="6"/>
        <v>0</v>
      </c>
      <c r="AB10" s="34">
        <f t="shared" si="7"/>
        <v>0</v>
      </c>
      <c r="AC10" s="35">
        <f t="shared" si="8"/>
        <v>0</v>
      </c>
    </row>
    <row r="11" spans="1:29" s="15" customFormat="1" ht="31.9" customHeight="1">
      <c r="A11" s="22" t="s">
        <v>150</v>
      </c>
      <c r="B11" s="22" t="s">
        <v>82</v>
      </c>
      <c r="C11" s="23">
        <v>8</v>
      </c>
      <c r="D11" s="22">
        <v>0</v>
      </c>
      <c r="E11" s="22">
        <v>0</v>
      </c>
      <c r="F11" s="24">
        <v>0</v>
      </c>
      <c r="G11" s="22">
        <v>0</v>
      </c>
      <c r="H11" s="22">
        <v>10</v>
      </c>
      <c r="I11" s="25">
        <v>11019.9</v>
      </c>
      <c r="J11" s="26">
        <v>63</v>
      </c>
      <c r="K11" s="25">
        <f t="shared" si="4"/>
        <v>3.15</v>
      </c>
      <c r="L11" s="25">
        <f t="shared" si="5"/>
        <v>59.85</v>
      </c>
      <c r="M11" s="27">
        <v>4127</v>
      </c>
      <c r="N11" s="25">
        <f>SUM(M11/100)</f>
        <v>41.27</v>
      </c>
      <c r="O11" s="28">
        <f>SUM(N11*L11)</f>
        <v>2470.0095000000001</v>
      </c>
      <c r="P11" s="29"/>
      <c r="Q11" s="30">
        <v>28980.69</v>
      </c>
      <c r="R11" s="31">
        <f t="shared" si="2"/>
        <v>22292.83846153846</v>
      </c>
      <c r="S11" s="31">
        <f t="shared" si="3"/>
        <v>6687.8515384615384</v>
      </c>
      <c r="T11" s="31">
        <f>SUM(Q11*10%)</f>
        <v>2898.069</v>
      </c>
      <c r="U11" s="32"/>
      <c r="V11" s="32">
        <f>500</f>
        <v>500</v>
      </c>
      <c r="W11" s="32">
        <v>0</v>
      </c>
      <c r="X11" s="31"/>
      <c r="Y11" s="32"/>
      <c r="Z11" s="33">
        <f t="shared" si="9"/>
        <v>34848.768499999998</v>
      </c>
      <c r="AA11" s="33">
        <f t="shared" si="6"/>
        <v>2970.0095000000001</v>
      </c>
      <c r="AB11" s="34">
        <f t="shared" si="7"/>
        <v>1156.9904999999999</v>
      </c>
      <c r="AC11" s="35">
        <f t="shared" si="8"/>
        <v>36005.759000000005</v>
      </c>
    </row>
    <row r="12" spans="1:29" s="15" customFormat="1" ht="31.9" customHeight="1">
      <c r="A12" s="22" t="s">
        <v>151</v>
      </c>
      <c r="B12" s="22" t="s">
        <v>20</v>
      </c>
      <c r="C12" s="23">
        <v>16</v>
      </c>
      <c r="D12" s="22">
        <v>0</v>
      </c>
      <c r="E12" s="22">
        <v>0</v>
      </c>
      <c r="F12" s="24">
        <v>0</v>
      </c>
      <c r="G12" s="22">
        <v>0</v>
      </c>
      <c r="H12" s="22">
        <v>0</v>
      </c>
      <c r="I12" s="25">
        <v>17425.650000000001</v>
      </c>
      <c r="J12" s="26">
        <v>60</v>
      </c>
      <c r="K12" s="25">
        <f t="shared" si="4"/>
        <v>3</v>
      </c>
      <c r="L12" s="25">
        <f t="shared" si="5"/>
        <v>57</v>
      </c>
      <c r="M12" s="27">
        <v>2819</v>
      </c>
      <c r="N12" s="25">
        <f t="shared" si="0"/>
        <v>28.19</v>
      </c>
      <c r="O12" s="28">
        <f t="shared" si="1"/>
        <v>1606.8300000000002</v>
      </c>
      <c r="P12" s="29"/>
      <c r="Q12" s="30">
        <v>24709.31</v>
      </c>
      <c r="R12" s="31">
        <f t="shared" si="2"/>
        <v>19007.16153846154</v>
      </c>
      <c r="S12" s="31">
        <f t="shared" si="3"/>
        <v>5702.1484615384616</v>
      </c>
      <c r="T12" s="31"/>
      <c r="U12" s="32"/>
      <c r="V12" s="32">
        <f>500</f>
        <v>500</v>
      </c>
      <c r="W12" s="32">
        <v>0</v>
      </c>
      <c r="X12" s="31"/>
      <c r="Y12" s="32"/>
      <c r="Z12" s="33">
        <f t="shared" si="9"/>
        <v>26816.140000000003</v>
      </c>
      <c r="AA12" s="33">
        <f t="shared" si="6"/>
        <v>2106.83</v>
      </c>
      <c r="AB12" s="34">
        <f t="shared" si="7"/>
        <v>712.16999999999985</v>
      </c>
      <c r="AC12" s="35">
        <f t="shared" si="8"/>
        <v>27528.31</v>
      </c>
    </row>
    <row r="13" spans="1:29" s="15" customFormat="1" ht="31.9" customHeight="1">
      <c r="A13" s="22" t="s">
        <v>152</v>
      </c>
      <c r="B13" s="22" t="s">
        <v>21</v>
      </c>
      <c r="C13" s="23">
        <v>24</v>
      </c>
      <c r="D13" s="22">
        <v>0</v>
      </c>
      <c r="E13" s="22">
        <v>10</v>
      </c>
      <c r="F13" s="24">
        <v>0</v>
      </c>
      <c r="G13" s="22">
        <v>0</v>
      </c>
      <c r="H13" s="22">
        <v>10</v>
      </c>
      <c r="I13" s="25">
        <v>87989.48</v>
      </c>
      <c r="J13" s="26">
        <v>35</v>
      </c>
      <c r="K13" s="25">
        <f t="shared" si="4"/>
        <v>1.75</v>
      </c>
      <c r="L13" s="25">
        <f t="shared" si="5"/>
        <v>33.25</v>
      </c>
      <c r="M13" s="27">
        <v>26349</v>
      </c>
      <c r="N13" s="25">
        <f t="shared" si="0"/>
        <v>263.49</v>
      </c>
      <c r="O13" s="31">
        <f t="shared" si="1"/>
        <v>8761.0424999999996</v>
      </c>
      <c r="P13" s="36"/>
      <c r="Q13" s="37">
        <v>33907.269999999997</v>
      </c>
      <c r="R13" s="31">
        <f t="shared" si="2"/>
        <v>26082.515384615381</v>
      </c>
      <c r="S13" s="31">
        <f t="shared" si="3"/>
        <v>7824.754615384616</v>
      </c>
      <c r="T13" s="31">
        <f>SUM(Q13*10%)</f>
        <v>3390.7269999999999</v>
      </c>
      <c r="U13" s="32"/>
      <c r="V13" s="32">
        <v>500</v>
      </c>
      <c r="W13" s="32">
        <v>0</v>
      </c>
      <c r="X13" s="31">
        <f>SUM(Q13*15%)</f>
        <v>5086.0904999999993</v>
      </c>
      <c r="Y13" s="32"/>
      <c r="Z13" s="33">
        <f>SUM(O13+P13+Q13+T13+U13+V13+W13+X13+Y13)</f>
        <v>51645.13</v>
      </c>
      <c r="AA13" s="33">
        <f t="shared" si="6"/>
        <v>14347.132999999998</v>
      </c>
      <c r="AB13" s="34">
        <f t="shared" si="7"/>
        <v>12001.867000000002</v>
      </c>
      <c r="AC13" s="35">
        <f t="shared" si="8"/>
        <v>63646.996999999996</v>
      </c>
    </row>
    <row r="14" spans="1:29" s="15" customFormat="1" ht="31.9" customHeight="1">
      <c r="A14" s="22" t="s">
        <v>153</v>
      </c>
      <c r="B14" s="22" t="s">
        <v>118</v>
      </c>
      <c r="C14" s="23">
        <v>8</v>
      </c>
      <c r="D14" s="22">
        <v>0</v>
      </c>
      <c r="E14" s="22">
        <v>0</v>
      </c>
      <c r="F14" s="24">
        <v>0</v>
      </c>
      <c r="G14" s="22">
        <v>0</v>
      </c>
      <c r="H14" s="22">
        <v>0</v>
      </c>
      <c r="I14" s="25">
        <v>32672.2</v>
      </c>
      <c r="J14" s="26">
        <v>47</v>
      </c>
      <c r="K14" s="25">
        <f t="shared" si="4"/>
        <v>2.35</v>
      </c>
      <c r="L14" s="25">
        <f t="shared" si="5"/>
        <v>44.65</v>
      </c>
      <c r="M14" s="27">
        <v>3591</v>
      </c>
      <c r="N14" s="25">
        <f t="shared" si="0"/>
        <v>35.909999999999997</v>
      </c>
      <c r="O14" s="28">
        <f t="shared" si="1"/>
        <v>1603.3814999999997</v>
      </c>
      <c r="P14" s="29"/>
      <c r="Q14" s="30">
        <v>25383.74</v>
      </c>
      <c r="R14" s="31">
        <f t="shared" si="2"/>
        <v>19525.953846153847</v>
      </c>
      <c r="S14" s="31">
        <f t="shared" si="3"/>
        <v>5857.7861538461548</v>
      </c>
      <c r="T14" s="31"/>
      <c r="U14" s="32"/>
      <c r="V14" s="32">
        <v>500</v>
      </c>
      <c r="W14" s="32">
        <v>0</v>
      </c>
      <c r="X14" s="31"/>
      <c r="Y14" s="32"/>
      <c r="Z14" s="33">
        <f t="shared" si="9"/>
        <v>27487.121500000001</v>
      </c>
      <c r="AA14" s="33">
        <f t="shared" si="6"/>
        <v>2103.3814999999995</v>
      </c>
      <c r="AB14" s="34">
        <f t="shared" si="7"/>
        <v>1487.6185000000003</v>
      </c>
      <c r="AC14" s="35">
        <f t="shared" si="8"/>
        <v>28974.74</v>
      </c>
    </row>
    <row r="15" spans="1:29" s="15" customFormat="1" ht="31.9" customHeight="1">
      <c r="A15" s="22" t="s">
        <v>154</v>
      </c>
      <c r="B15" s="22"/>
      <c r="C15" s="23"/>
      <c r="D15" s="22"/>
      <c r="E15" s="22"/>
      <c r="F15" s="24"/>
      <c r="G15" s="22"/>
      <c r="H15" s="22"/>
      <c r="I15" s="25">
        <v>69545.56</v>
      </c>
      <c r="J15" s="25"/>
      <c r="K15" s="25"/>
      <c r="L15" s="25"/>
      <c r="M15" s="27"/>
      <c r="N15" s="25"/>
      <c r="O15" s="28"/>
      <c r="P15" s="29"/>
      <c r="Q15" s="30"/>
      <c r="R15" s="31"/>
      <c r="S15" s="31"/>
      <c r="T15" s="31"/>
      <c r="U15" s="27"/>
      <c r="V15" s="32"/>
      <c r="W15" s="32"/>
      <c r="X15" s="31"/>
      <c r="Y15" s="32"/>
      <c r="Z15" s="33"/>
      <c r="AA15" s="33">
        <f t="shared" si="6"/>
        <v>0</v>
      </c>
      <c r="AB15" s="34">
        <f t="shared" si="7"/>
        <v>0</v>
      </c>
      <c r="AC15" s="35">
        <f t="shared" si="8"/>
        <v>0</v>
      </c>
    </row>
    <row r="16" spans="1:29" s="15" customFormat="1" ht="31.9" customHeight="1" thickBot="1">
      <c r="A16" s="38" t="s">
        <v>155</v>
      </c>
      <c r="B16" s="38" t="s">
        <v>23</v>
      </c>
      <c r="C16" s="39">
        <v>8</v>
      </c>
      <c r="D16" s="38">
        <v>0</v>
      </c>
      <c r="E16" s="38">
        <v>0</v>
      </c>
      <c r="F16" s="40">
        <v>0</v>
      </c>
      <c r="G16" s="38">
        <v>0</v>
      </c>
      <c r="H16" s="38">
        <v>0</v>
      </c>
      <c r="I16" s="41">
        <v>21630.45</v>
      </c>
      <c r="J16" s="42">
        <v>58</v>
      </c>
      <c r="K16" s="25">
        <f t="shared" si="4"/>
        <v>2.9</v>
      </c>
      <c r="L16" s="25">
        <f t="shared" si="5"/>
        <v>55.1</v>
      </c>
      <c r="M16" s="41">
        <v>3639</v>
      </c>
      <c r="N16" s="41">
        <f t="shared" si="0"/>
        <v>36.39</v>
      </c>
      <c r="O16" s="43">
        <f t="shared" si="1"/>
        <v>2005.0890000000002</v>
      </c>
      <c r="P16" s="44"/>
      <c r="Q16" s="45">
        <v>26654.62</v>
      </c>
      <c r="R16" s="31">
        <f t="shared" si="2"/>
        <v>20503.553846153845</v>
      </c>
      <c r="S16" s="31">
        <f t="shared" si="3"/>
        <v>6151.0661538461536</v>
      </c>
      <c r="T16" s="46"/>
      <c r="U16" s="47"/>
      <c r="V16" s="32">
        <v>500</v>
      </c>
      <c r="W16" s="44">
        <v>0</v>
      </c>
      <c r="X16" s="48"/>
      <c r="Y16" s="49"/>
      <c r="Z16" s="33">
        <f t="shared" si="9"/>
        <v>29159.708999999999</v>
      </c>
      <c r="AA16" s="33">
        <f t="shared" si="6"/>
        <v>2505.0889999999999</v>
      </c>
      <c r="AB16" s="34">
        <f t="shared" si="7"/>
        <v>1133.9109999999998</v>
      </c>
      <c r="AC16" s="35">
        <f t="shared" si="8"/>
        <v>30293.62</v>
      </c>
    </row>
    <row r="17" spans="1:29" s="15" customFormat="1" ht="36.75" customHeight="1">
      <c r="A17" s="55" t="s">
        <v>194</v>
      </c>
      <c r="B17" s="50" t="s">
        <v>140</v>
      </c>
      <c r="C17" s="51">
        <v>32</v>
      </c>
      <c r="D17" s="50">
        <v>5</v>
      </c>
      <c r="E17" s="50">
        <v>10</v>
      </c>
      <c r="F17" s="52">
        <v>0</v>
      </c>
      <c r="G17" s="50">
        <v>10</v>
      </c>
      <c r="H17" s="50">
        <v>10</v>
      </c>
      <c r="I17" s="25">
        <v>97091.47</v>
      </c>
      <c r="J17" s="26">
        <f>70</f>
        <v>70</v>
      </c>
      <c r="K17" s="25">
        <f t="shared" si="4"/>
        <v>3.5</v>
      </c>
      <c r="L17" s="25">
        <f t="shared" si="5"/>
        <v>66.5</v>
      </c>
      <c r="M17" s="25">
        <v>31996</v>
      </c>
      <c r="N17" s="25">
        <f t="shared" si="0"/>
        <v>319.95999999999998</v>
      </c>
      <c r="O17" s="28">
        <f t="shared" si="1"/>
        <v>21277.34</v>
      </c>
      <c r="P17" s="32"/>
      <c r="Q17" s="31">
        <v>41789.870000000003</v>
      </c>
      <c r="R17" s="31">
        <f t="shared" si="2"/>
        <v>32146.053846153845</v>
      </c>
      <c r="S17" s="31">
        <f t="shared" si="3"/>
        <v>9643.8161538461572</v>
      </c>
      <c r="T17" s="31">
        <f>SUM(Q17*10%)</f>
        <v>4178.9870000000001</v>
      </c>
      <c r="U17" s="32"/>
      <c r="V17" s="32">
        <v>0</v>
      </c>
      <c r="W17" s="32">
        <v>0</v>
      </c>
      <c r="X17" s="31"/>
      <c r="Y17" s="32">
        <f>SUM(Q17*20%)</f>
        <v>8357.9740000000002</v>
      </c>
      <c r="Z17" s="33">
        <f>SUM(O17+P17+Q17+T17+U17+V17+W17+X17+Y17)</f>
        <v>75604.171000000002</v>
      </c>
      <c r="AA17" s="33">
        <f t="shared" si="6"/>
        <v>29635.313999999998</v>
      </c>
      <c r="AB17" s="34">
        <f t="shared" si="7"/>
        <v>2360.6859999999997</v>
      </c>
      <c r="AC17" s="35">
        <f t="shared" si="8"/>
        <v>77964.856999999989</v>
      </c>
    </row>
    <row r="18" spans="1:29" s="15" customFormat="1" ht="31.9" customHeight="1">
      <c r="A18" s="22" t="s">
        <v>193</v>
      </c>
      <c r="B18" s="53" t="s">
        <v>163</v>
      </c>
      <c r="C18" s="23"/>
      <c r="D18" s="22"/>
      <c r="E18" s="22"/>
      <c r="F18" s="24"/>
      <c r="G18" s="22"/>
      <c r="H18" s="22"/>
      <c r="I18" s="25">
        <v>162875.85999999999</v>
      </c>
      <c r="J18" s="26">
        <v>78</v>
      </c>
      <c r="K18" s="25">
        <f t="shared" si="4"/>
        <v>3.9</v>
      </c>
      <c r="L18" s="25">
        <f t="shared" si="5"/>
        <v>74.099999999999994</v>
      </c>
      <c r="M18" s="27">
        <v>26819</v>
      </c>
      <c r="N18" s="25">
        <f t="shared" si="0"/>
        <v>268.19</v>
      </c>
      <c r="O18" s="28">
        <f t="shared" si="1"/>
        <v>19872.878999999997</v>
      </c>
      <c r="P18" s="29"/>
      <c r="Q18" s="30">
        <v>37107.300000000003</v>
      </c>
      <c r="R18" s="31">
        <f t="shared" si="2"/>
        <v>28544.076923076926</v>
      </c>
      <c r="S18" s="31">
        <f t="shared" si="3"/>
        <v>8563.2230769230773</v>
      </c>
      <c r="T18" s="32"/>
      <c r="U18" s="32"/>
      <c r="V18" s="32">
        <v>0</v>
      </c>
      <c r="W18" s="32">
        <v>0</v>
      </c>
      <c r="X18" s="32"/>
      <c r="Y18" s="31">
        <f>SUM(Q18*20%)-475.34</f>
        <v>6946.1200000000008</v>
      </c>
      <c r="Z18" s="33">
        <f>SUM(O18+P18+Q18+T18+U18+V18+W18+X18+Y18)</f>
        <v>63926.299000000006</v>
      </c>
      <c r="AA18" s="33">
        <f t="shared" si="6"/>
        <v>26818.998999999996</v>
      </c>
      <c r="AB18" s="34">
        <f>SUM(M18-O18-P18-U18-V18-W18-X18-Y18)</f>
        <v>1.0000000020227162E-3</v>
      </c>
      <c r="AC18" s="35">
        <f t="shared" si="8"/>
        <v>63926.3</v>
      </c>
    </row>
    <row r="19" spans="1:29" s="15" customFormat="1" ht="37.5" customHeight="1">
      <c r="A19" s="53" t="s">
        <v>195</v>
      </c>
      <c r="B19" s="22"/>
      <c r="C19" s="23"/>
      <c r="D19" s="22"/>
      <c r="E19" s="22"/>
      <c r="F19" s="24"/>
      <c r="G19" s="22"/>
      <c r="H19" s="22"/>
      <c r="I19" s="25"/>
      <c r="J19" s="25"/>
      <c r="K19" s="25"/>
      <c r="L19" s="25"/>
      <c r="M19" s="54"/>
      <c r="N19" s="25"/>
      <c r="O19" s="28"/>
      <c r="P19" s="29"/>
      <c r="Q19" s="30"/>
      <c r="R19" s="31"/>
      <c r="S19" s="31"/>
      <c r="T19" s="32"/>
      <c r="U19" s="32"/>
      <c r="V19" s="32"/>
      <c r="W19" s="32"/>
      <c r="X19" s="32"/>
      <c r="Y19" s="31"/>
      <c r="Z19" s="33"/>
      <c r="AA19" s="33">
        <f t="shared" si="6"/>
        <v>0</v>
      </c>
      <c r="AB19" s="34">
        <f t="shared" si="7"/>
        <v>0</v>
      </c>
      <c r="AC19" s="35">
        <f t="shared" si="8"/>
        <v>0</v>
      </c>
    </row>
    <row r="20" spans="1:29" s="15" customFormat="1"/>
    <row r="21" spans="1:29" s="15" customFormat="1"/>
    <row r="22" spans="1:29" s="15" customFormat="1"/>
    <row r="23" spans="1:29" s="15" customFormat="1"/>
    <row r="24" spans="1:29" s="15" customFormat="1"/>
    <row r="25" spans="1:29" s="15" customFormat="1"/>
    <row r="26" spans="1:29" s="15" customFormat="1"/>
    <row r="27" spans="1:29" s="15" customFormat="1"/>
    <row r="28" spans="1:29" s="15" customFormat="1"/>
    <row r="29" spans="1:29" s="15" customFormat="1"/>
    <row r="30" spans="1:29" s="15" customFormat="1"/>
    <row r="31" spans="1:29" s="15" customFormat="1"/>
    <row r="32" spans="1:29" s="15" customFormat="1"/>
    <row r="33" s="15" customFormat="1"/>
    <row r="34" s="15" customFormat="1"/>
    <row r="35" s="15" customFormat="1"/>
    <row r="36" s="15" customFormat="1"/>
    <row r="37" s="15" customFormat="1"/>
    <row r="38" s="15" customFormat="1"/>
    <row r="39" s="15" customFormat="1"/>
    <row r="40" s="15" customFormat="1"/>
    <row r="41" s="15" customFormat="1"/>
    <row r="42" s="15" customFormat="1"/>
    <row r="43" s="15" customFormat="1"/>
    <row r="44" s="15" customFormat="1"/>
    <row r="45" s="15" customFormat="1"/>
    <row r="46" s="15" customFormat="1"/>
    <row r="47" s="15" customFormat="1"/>
    <row r="48" s="15" customFormat="1"/>
    <row r="49" spans="2:29" s="15" customFormat="1"/>
    <row r="50" spans="2:29" s="15" customFormat="1"/>
    <row r="51" spans="2:29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</sheetData>
  <mergeCells count="18">
    <mergeCell ref="O3:O4"/>
    <mergeCell ref="AA3:AA4"/>
    <mergeCell ref="AB3:AB4"/>
    <mergeCell ref="AC3:AC4"/>
    <mergeCell ref="Q3:S3"/>
    <mergeCell ref="T3:T4"/>
    <mergeCell ref="U3:U4"/>
    <mergeCell ref="W3:W4"/>
    <mergeCell ref="X3:X4"/>
    <mergeCell ref="Y3:Y4"/>
    <mergeCell ref="M3:M4"/>
    <mergeCell ref="N3:N4"/>
    <mergeCell ref="C3:D3"/>
    <mergeCell ref="E3:H3"/>
    <mergeCell ref="I3:I4"/>
    <mergeCell ref="J3:J4"/>
    <mergeCell ref="K3:K4"/>
    <mergeCell ref="L3:L4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X69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N2" sqref="N2"/>
    </sheetView>
  </sheetViews>
  <sheetFormatPr defaultRowHeight="15"/>
  <cols>
    <col min="1" max="1" width="29.42578125" customWidth="1"/>
    <col min="2" max="2" width="22.85546875" customWidth="1"/>
    <col min="3" max="3" width="11.28515625" customWidth="1"/>
    <col min="4" max="5" width="8.85546875" customWidth="1"/>
    <col min="6" max="6" width="7.85546875" customWidth="1"/>
    <col min="7" max="7" width="10.85546875" customWidth="1"/>
    <col min="8" max="8" width="8.140625" customWidth="1"/>
    <col min="9" max="9" width="12" customWidth="1"/>
    <col min="10" max="12" width="7.42578125" customWidth="1"/>
    <col min="13" max="13" width="8.7109375" customWidth="1"/>
    <col min="14" max="14" width="11.140625" customWidth="1"/>
    <col min="15" max="15" width="13.140625" customWidth="1"/>
    <col min="16" max="16" width="13.42578125" customWidth="1"/>
    <col min="17" max="17" width="10.140625" customWidth="1"/>
    <col min="19" max="19" width="11.5703125" customWidth="1"/>
    <col min="20" max="21" width="12.28515625" customWidth="1"/>
    <col min="22" max="22" width="12.7109375" hidden="1" customWidth="1"/>
    <col min="23" max="23" width="15.28515625" hidden="1" customWidth="1"/>
    <col min="24" max="24" width="11.42578125" hidden="1" customWidth="1"/>
  </cols>
  <sheetData>
    <row r="2" spans="1:24" s="15" customFormat="1" ht="55.5" customHeight="1" thickBot="1">
      <c r="A2" s="56" t="s">
        <v>199</v>
      </c>
      <c r="B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4" s="15" customFormat="1" ht="15.75" hidden="1" customHeight="1" thickBot="1">
      <c r="A3" s="15" t="s">
        <v>2</v>
      </c>
    </row>
    <row r="4" spans="1:24" s="15" customFormat="1" ht="54" customHeight="1">
      <c r="A4" s="57" t="s">
        <v>0</v>
      </c>
      <c r="B4" s="57" t="s">
        <v>1</v>
      </c>
      <c r="C4" s="158" t="s">
        <v>158</v>
      </c>
      <c r="D4" s="158" t="s">
        <v>159</v>
      </c>
      <c r="E4" s="158" t="s">
        <v>184</v>
      </c>
      <c r="F4" s="165" t="s">
        <v>161</v>
      </c>
      <c r="G4" s="58" t="s">
        <v>12</v>
      </c>
      <c r="H4" s="13" t="s">
        <v>13</v>
      </c>
      <c r="I4" s="13" t="s">
        <v>14</v>
      </c>
      <c r="J4" s="13" t="s">
        <v>72</v>
      </c>
      <c r="K4" s="13" t="s">
        <v>85</v>
      </c>
      <c r="L4" s="13" t="s">
        <v>86</v>
      </c>
      <c r="M4" s="12" t="s">
        <v>90</v>
      </c>
      <c r="N4" s="169" t="s">
        <v>112</v>
      </c>
      <c r="O4" s="169"/>
      <c r="P4" s="169"/>
      <c r="Q4" s="169" t="s">
        <v>116</v>
      </c>
      <c r="R4" s="175" t="s">
        <v>76</v>
      </c>
      <c r="S4" s="173" t="s">
        <v>137</v>
      </c>
      <c r="T4" s="173" t="s">
        <v>138</v>
      </c>
      <c r="U4" s="14" t="s">
        <v>15</v>
      </c>
      <c r="V4" s="167" t="s">
        <v>156</v>
      </c>
      <c r="W4" s="169" t="s">
        <v>73</v>
      </c>
      <c r="X4" s="170" t="s">
        <v>164</v>
      </c>
    </row>
    <row r="5" spans="1:24" s="15" customFormat="1" ht="78.75" customHeight="1" thickBot="1">
      <c r="A5" s="59"/>
      <c r="B5" s="59"/>
      <c r="C5" s="159"/>
      <c r="D5" s="159"/>
      <c r="E5" s="159"/>
      <c r="F5" s="166"/>
      <c r="G5" s="60"/>
      <c r="H5" s="60"/>
      <c r="I5" s="60"/>
      <c r="J5" s="20"/>
      <c r="K5" s="20"/>
      <c r="L5" s="20"/>
      <c r="M5" s="20"/>
      <c r="N5" s="21" t="s">
        <v>113</v>
      </c>
      <c r="O5" s="21" t="s">
        <v>114</v>
      </c>
      <c r="P5" s="21" t="s">
        <v>115</v>
      </c>
      <c r="Q5" s="169"/>
      <c r="R5" s="176"/>
      <c r="S5" s="173"/>
      <c r="T5" s="173"/>
      <c r="U5" s="14"/>
      <c r="V5" s="168"/>
      <c r="W5" s="169"/>
      <c r="X5" s="170"/>
    </row>
    <row r="6" spans="1:24" s="15" customFormat="1" ht="29.45" customHeight="1">
      <c r="A6" s="22" t="s">
        <v>166</v>
      </c>
      <c r="B6" s="27" t="s">
        <v>188</v>
      </c>
      <c r="C6" s="25"/>
      <c r="D6" s="26">
        <v>41</v>
      </c>
      <c r="E6" s="25"/>
      <c r="F6" s="25">
        <f>SUM(D6-E6)</f>
        <v>41</v>
      </c>
      <c r="G6" s="27">
        <v>17987</v>
      </c>
      <c r="H6" s="25">
        <f>SUM(G6/100)</f>
        <v>179.87</v>
      </c>
      <c r="I6" s="28">
        <f>SUM(H6*F6)</f>
        <v>7374.67</v>
      </c>
      <c r="J6" s="29"/>
      <c r="K6" s="29"/>
      <c r="L6" s="29">
        <v>500</v>
      </c>
      <c r="M6" s="29">
        <v>500</v>
      </c>
      <c r="N6" s="30">
        <v>27623.57</v>
      </c>
      <c r="O6" s="31">
        <f>SUM(N6/1.3)</f>
        <v>21248.899999999998</v>
      </c>
      <c r="P6" s="31">
        <f>SUM(N6-O6)</f>
        <v>6374.6700000000019</v>
      </c>
      <c r="Q6" s="31"/>
      <c r="R6" s="32">
        <v>0</v>
      </c>
      <c r="S6" s="48"/>
      <c r="T6" s="48"/>
      <c r="U6" s="61">
        <f>SUM(I6+J6+K6+L6+M6+N6+Q6+R6+S6+T6)</f>
        <v>35998.239999999998</v>
      </c>
      <c r="V6" s="61">
        <f>SUM(I6+J6+K6+L6+M6+R6+S6+T6)</f>
        <v>8374.67</v>
      </c>
      <c r="W6" s="62">
        <f>SUM(G6-I6-J6-K6-L6-M6-R6-S6-T6)</f>
        <v>9612.33</v>
      </c>
      <c r="X6" s="35">
        <f>SUM(G6+N6+Q6)</f>
        <v>45610.57</v>
      </c>
    </row>
    <row r="7" spans="1:24" s="15" customFormat="1" ht="29.45" customHeight="1">
      <c r="A7" s="22" t="s">
        <v>167</v>
      </c>
      <c r="B7" s="27" t="s">
        <v>189</v>
      </c>
      <c r="C7" s="25"/>
      <c r="D7" s="26">
        <v>36</v>
      </c>
      <c r="E7" s="25"/>
      <c r="F7" s="25">
        <f t="shared" ref="F7:F20" si="0">SUM(D7-E7)</f>
        <v>36</v>
      </c>
      <c r="G7" s="27">
        <v>10565</v>
      </c>
      <c r="H7" s="25">
        <f t="shared" ref="H7:H20" si="1">SUM(G7/100)</f>
        <v>105.65</v>
      </c>
      <c r="I7" s="28">
        <f t="shared" ref="I7:I20" si="2">SUM(H7*F7)</f>
        <v>3803.4</v>
      </c>
      <c r="J7" s="29"/>
      <c r="K7" s="29"/>
      <c r="L7" s="29">
        <v>800</v>
      </c>
      <c r="M7" s="29">
        <v>500</v>
      </c>
      <c r="N7" s="30">
        <v>31021.5</v>
      </c>
      <c r="O7" s="31">
        <f t="shared" ref="O7:O20" si="3">SUM(N7/1.3)</f>
        <v>23862.692307692309</v>
      </c>
      <c r="P7" s="31">
        <f t="shared" ref="P7:P20" si="4">SUM(N7-O7)</f>
        <v>7158.8076923076915</v>
      </c>
      <c r="Q7" s="31"/>
      <c r="R7" s="32">
        <v>0</v>
      </c>
      <c r="S7" s="48"/>
      <c r="T7" s="48"/>
      <c r="U7" s="61">
        <f>SUM(I7+J7+K7+L7+M7+N7+Q7+R7+S7+T7)</f>
        <v>36124.9</v>
      </c>
      <c r="V7" s="61">
        <f t="shared" ref="V7:V20" si="5">SUM(I7+J7+K7+L7+M7+R7+S7+T7)</f>
        <v>5103.3999999999996</v>
      </c>
      <c r="W7" s="62">
        <f t="shared" ref="W7:W20" si="6">SUM(G7-I7-J7-K7-L7-M7-R7-S7-T7)</f>
        <v>5461.6</v>
      </c>
      <c r="X7" s="35">
        <f t="shared" ref="X7:X20" si="7">SUM(G7+N7+Q7)</f>
        <v>41586.5</v>
      </c>
    </row>
    <row r="8" spans="1:24" s="15" customFormat="1" ht="29.45" customHeight="1">
      <c r="A8" s="22" t="s">
        <v>196</v>
      </c>
      <c r="B8" s="27" t="s">
        <v>182</v>
      </c>
      <c r="C8" s="25">
        <v>74001.64</v>
      </c>
      <c r="D8" s="26">
        <v>44</v>
      </c>
      <c r="E8" s="25">
        <f>SUM(D8*5/100)</f>
        <v>2.2000000000000002</v>
      </c>
      <c r="F8" s="25">
        <f t="shared" si="0"/>
        <v>41.8</v>
      </c>
      <c r="G8" s="27">
        <v>23029</v>
      </c>
      <c r="H8" s="25">
        <f t="shared" si="1"/>
        <v>230.29</v>
      </c>
      <c r="I8" s="28">
        <f t="shared" si="2"/>
        <v>9626.1219999999994</v>
      </c>
      <c r="J8" s="29"/>
      <c r="K8" s="29">
        <v>800</v>
      </c>
      <c r="L8" s="29">
        <v>500</v>
      </c>
      <c r="M8" s="29">
        <v>500</v>
      </c>
      <c r="N8" s="30">
        <v>42418.63</v>
      </c>
      <c r="O8" s="31">
        <f t="shared" si="3"/>
        <v>32629.715384615381</v>
      </c>
      <c r="P8" s="31">
        <f t="shared" si="4"/>
        <v>9788.9146153846159</v>
      </c>
      <c r="Q8" s="31"/>
      <c r="R8" s="32">
        <v>0</v>
      </c>
      <c r="S8" s="48">
        <f>SUM(N8*15%)</f>
        <v>6362.7944999999991</v>
      </c>
      <c r="T8" s="48"/>
      <c r="U8" s="61">
        <f>SUM(I8+J8+K8+L8+M8+N8+Q8+R8+S8+T8)-0.01</f>
        <v>60207.536499999987</v>
      </c>
      <c r="V8" s="61">
        <f t="shared" si="5"/>
        <v>17788.916499999999</v>
      </c>
      <c r="W8" s="62">
        <f t="shared" si="6"/>
        <v>5240.0835000000015</v>
      </c>
      <c r="X8" s="35">
        <f t="shared" si="7"/>
        <v>65447.63</v>
      </c>
    </row>
    <row r="9" spans="1:24" s="15" customFormat="1" ht="36" customHeight="1">
      <c r="A9" s="53" t="s">
        <v>197</v>
      </c>
      <c r="B9" s="36" t="s">
        <v>135</v>
      </c>
      <c r="C9" s="25">
        <v>54197.72</v>
      </c>
      <c r="D9" s="26">
        <v>33</v>
      </c>
      <c r="E9" s="25">
        <f>SUM(D9*5/100)</f>
        <v>1.65</v>
      </c>
      <c r="F9" s="25">
        <f t="shared" si="0"/>
        <v>31.35</v>
      </c>
      <c r="G9" s="27">
        <v>20379</v>
      </c>
      <c r="H9" s="25">
        <f t="shared" si="1"/>
        <v>203.79</v>
      </c>
      <c r="I9" s="28">
        <f t="shared" si="2"/>
        <v>6388.8164999999999</v>
      </c>
      <c r="J9" s="29"/>
      <c r="K9" s="29">
        <f>800</f>
        <v>800</v>
      </c>
      <c r="L9" s="29">
        <v>500</v>
      </c>
      <c r="M9" s="29">
        <v>500</v>
      </c>
      <c r="N9" s="30">
        <v>34344.15</v>
      </c>
      <c r="O9" s="31">
        <f t="shared" si="3"/>
        <v>26418.576923076922</v>
      </c>
      <c r="P9" s="31">
        <f t="shared" si="4"/>
        <v>7925.5730769230795</v>
      </c>
      <c r="Q9" s="31"/>
      <c r="R9" s="32">
        <v>0</v>
      </c>
      <c r="S9" s="48">
        <f>SUM(N9*15%)</f>
        <v>5151.6225000000004</v>
      </c>
      <c r="T9" s="48"/>
      <c r="U9" s="61">
        <f t="shared" ref="U9:U14" si="8">SUM(I9+J9+K9+L9+M9+N9+Q9+R9+S9+T9)</f>
        <v>47684.589</v>
      </c>
      <c r="V9" s="61">
        <f t="shared" si="5"/>
        <v>13340.439</v>
      </c>
      <c r="W9" s="62">
        <f t="shared" si="6"/>
        <v>7038.5609999999988</v>
      </c>
      <c r="X9" s="35">
        <f t="shared" si="7"/>
        <v>54723.15</v>
      </c>
    </row>
    <row r="10" spans="1:24" s="15" customFormat="1" ht="38.25" customHeight="1">
      <c r="A10" s="53" t="s">
        <v>168</v>
      </c>
      <c r="B10" s="27" t="s">
        <v>69</v>
      </c>
      <c r="C10" s="25">
        <v>10565.42</v>
      </c>
      <c r="D10" s="26">
        <v>70</v>
      </c>
      <c r="E10" s="25">
        <f>SUM(D10*5/100)</f>
        <v>3.5</v>
      </c>
      <c r="F10" s="25">
        <f t="shared" si="0"/>
        <v>66.5</v>
      </c>
      <c r="G10" s="27">
        <v>13122</v>
      </c>
      <c r="H10" s="25">
        <f t="shared" si="1"/>
        <v>131.22</v>
      </c>
      <c r="I10" s="28">
        <f t="shared" si="2"/>
        <v>8726.1299999999992</v>
      </c>
      <c r="J10" s="29"/>
      <c r="K10" s="29">
        <v>800</v>
      </c>
      <c r="L10" s="29"/>
      <c r="M10" s="29">
        <v>500</v>
      </c>
      <c r="N10" s="30">
        <v>31341.64</v>
      </c>
      <c r="O10" s="31">
        <f t="shared" si="3"/>
        <v>24108.953846153843</v>
      </c>
      <c r="P10" s="31">
        <f t="shared" si="4"/>
        <v>7232.6861538461562</v>
      </c>
      <c r="Q10" s="31">
        <f>SUM(N10*10%)</f>
        <v>3134.1640000000002</v>
      </c>
      <c r="R10" s="32">
        <v>0</v>
      </c>
      <c r="S10" s="48"/>
      <c r="T10" s="48"/>
      <c r="U10" s="61">
        <f t="shared" si="8"/>
        <v>44501.933999999994</v>
      </c>
      <c r="V10" s="61">
        <f t="shared" si="5"/>
        <v>10026.129999999999</v>
      </c>
      <c r="W10" s="62">
        <f t="shared" si="6"/>
        <v>3095.8700000000008</v>
      </c>
      <c r="X10" s="35">
        <f t="shared" si="7"/>
        <v>47597.803999999996</v>
      </c>
    </row>
    <row r="11" spans="1:24" s="15" customFormat="1" ht="37.5" customHeight="1">
      <c r="A11" s="53" t="s">
        <v>169</v>
      </c>
      <c r="B11" s="27" t="s">
        <v>70</v>
      </c>
      <c r="C11" s="25"/>
      <c r="D11" s="26">
        <v>42</v>
      </c>
      <c r="E11" s="25"/>
      <c r="F11" s="25">
        <v>55</v>
      </c>
      <c r="G11" s="27">
        <v>7437</v>
      </c>
      <c r="H11" s="25">
        <f t="shared" si="1"/>
        <v>74.37</v>
      </c>
      <c r="I11" s="28">
        <f t="shared" si="2"/>
        <v>4090.3500000000004</v>
      </c>
      <c r="J11" s="29"/>
      <c r="K11" s="29"/>
      <c r="L11" s="29"/>
      <c r="M11" s="29">
        <v>500</v>
      </c>
      <c r="N11" s="30">
        <v>28152.94</v>
      </c>
      <c r="O11" s="31">
        <f t="shared" si="3"/>
        <v>21656.107692307691</v>
      </c>
      <c r="P11" s="31">
        <f t="shared" si="4"/>
        <v>6496.8323076923079</v>
      </c>
      <c r="Q11" s="31"/>
      <c r="R11" s="32">
        <v>0</v>
      </c>
      <c r="S11" s="48"/>
      <c r="T11" s="48"/>
      <c r="U11" s="61">
        <f t="shared" si="8"/>
        <v>32743.29</v>
      </c>
      <c r="V11" s="61">
        <f t="shared" si="5"/>
        <v>4590.3500000000004</v>
      </c>
      <c r="W11" s="62">
        <f t="shared" si="6"/>
        <v>2846.6499999999996</v>
      </c>
      <c r="X11" s="35">
        <f t="shared" si="7"/>
        <v>35589.94</v>
      </c>
    </row>
    <row r="12" spans="1:24" s="15" customFormat="1" ht="35.25" customHeight="1">
      <c r="A12" s="53" t="s">
        <v>170</v>
      </c>
      <c r="B12" s="27" t="s">
        <v>132</v>
      </c>
      <c r="C12" s="25">
        <v>3834</v>
      </c>
      <c r="D12" s="26">
        <v>53</v>
      </c>
      <c r="E12" s="25">
        <f t="shared" ref="E12:E20" si="9">SUM(D12*5/100)</f>
        <v>2.65</v>
      </c>
      <c r="F12" s="25">
        <f t="shared" si="0"/>
        <v>50.35</v>
      </c>
      <c r="G12" s="27">
        <v>11768</v>
      </c>
      <c r="H12" s="25">
        <f t="shared" si="1"/>
        <v>117.68</v>
      </c>
      <c r="I12" s="28">
        <f t="shared" si="2"/>
        <v>5925.1880000000001</v>
      </c>
      <c r="J12" s="29"/>
      <c r="K12" s="29">
        <v>800</v>
      </c>
      <c r="L12" s="29"/>
      <c r="M12" s="29">
        <v>500</v>
      </c>
      <c r="N12" s="30">
        <v>30074.080000000002</v>
      </c>
      <c r="O12" s="31">
        <f t="shared" si="3"/>
        <v>23133.907692307694</v>
      </c>
      <c r="P12" s="31">
        <f t="shared" si="4"/>
        <v>6940.1723076923081</v>
      </c>
      <c r="Q12" s="31"/>
      <c r="R12" s="32">
        <v>0</v>
      </c>
      <c r="S12" s="48"/>
      <c r="T12" s="48"/>
      <c r="U12" s="61">
        <f t="shared" si="8"/>
        <v>37299.268000000004</v>
      </c>
      <c r="V12" s="61">
        <f t="shared" si="5"/>
        <v>7225.1880000000001</v>
      </c>
      <c r="W12" s="62">
        <f t="shared" si="6"/>
        <v>4542.8119999999999</v>
      </c>
      <c r="X12" s="35">
        <f t="shared" si="7"/>
        <v>41842.080000000002</v>
      </c>
    </row>
    <row r="13" spans="1:24" s="15" customFormat="1" ht="29.45" customHeight="1" thickBot="1">
      <c r="A13" s="69" t="s">
        <v>171</v>
      </c>
      <c r="B13" s="36" t="s">
        <v>198</v>
      </c>
      <c r="C13" s="36">
        <v>49926.14</v>
      </c>
      <c r="D13" s="63">
        <v>46</v>
      </c>
      <c r="E13" s="25">
        <f t="shared" si="9"/>
        <v>2.2999999999999998</v>
      </c>
      <c r="F13" s="25">
        <f t="shared" si="0"/>
        <v>43.7</v>
      </c>
      <c r="G13" s="36">
        <v>18681</v>
      </c>
      <c r="H13" s="25">
        <f t="shared" si="1"/>
        <v>186.81</v>
      </c>
      <c r="I13" s="28">
        <f t="shared" si="2"/>
        <v>8163.5970000000007</v>
      </c>
      <c r="J13" s="36">
        <v>0</v>
      </c>
      <c r="K13" s="36">
        <v>800</v>
      </c>
      <c r="L13" s="36">
        <v>800</v>
      </c>
      <c r="M13" s="36">
        <v>500</v>
      </c>
      <c r="N13" s="48">
        <v>27426.959999999999</v>
      </c>
      <c r="O13" s="31">
        <f t="shared" si="3"/>
        <v>21097.661538461536</v>
      </c>
      <c r="P13" s="31">
        <f t="shared" si="4"/>
        <v>6329.298461538463</v>
      </c>
      <c r="Q13" s="48"/>
      <c r="R13" s="49">
        <v>0</v>
      </c>
      <c r="S13" s="48">
        <f>SUM(N13*15%)</f>
        <v>4114.0439999999999</v>
      </c>
      <c r="T13" s="48"/>
      <c r="U13" s="61">
        <f t="shared" si="8"/>
        <v>41804.601000000002</v>
      </c>
      <c r="V13" s="61">
        <f>SUM(I13+J13+K13+L13+M13+R13+S13+T13)+0.01</f>
        <v>14377.651000000002</v>
      </c>
      <c r="W13" s="62">
        <f t="shared" si="6"/>
        <v>4303.3589999999986</v>
      </c>
      <c r="X13" s="35">
        <f t="shared" si="7"/>
        <v>46107.96</v>
      </c>
    </row>
    <row r="14" spans="1:24" s="15" customFormat="1" ht="51.75" customHeight="1">
      <c r="A14" s="55" t="s">
        <v>172</v>
      </c>
      <c r="B14" s="25" t="s">
        <v>62</v>
      </c>
      <c r="C14" s="25">
        <v>3971.95</v>
      </c>
      <c r="D14" s="64">
        <v>72</v>
      </c>
      <c r="E14" s="25">
        <f t="shared" si="9"/>
        <v>3.6</v>
      </c>
      <c r="F14" s="25">
        <f t="shared" si="0"/>
        <v>68.400000000000006</v>
      </c>
      <c r="G14" s="64">
        <v>44751</v>
      </c>
      <c r="H14" s="25">
        <f t="shared" si="1"/>
        <v>447.51</v>
      </c>
      <c r="I14" s="28">
        <f t="shared" si="2"/>
        <v>30609.684000000001</v>
      </c>
      <c r="J14" s="65"/>
      <c r="K14" s="65">
        <v>800</v>
      </c>
      <c r="L14" s="65">
        <v>800</v>
      </c>
      <c r="M14" s="65">
        <v>0</v>
      </c>
      <c r="N14" s="31">
        <v>43174.09</v>
      </c>
      <c r="O14" s="31">
        <f t="shared" si="3"/>
        <v>33210.838461538457</v>
      </c>
      <c r="P14" s="31">
        <f t="shared" si="4"/>
        <v>9963.2515384615399</v>
      </c>
      <c r="Q14" s="31">
        <f>SUM(N14*10%)</f>
        <v>4317.4089999999997</v>
      </c>
      <c r="R14" s="65">
        <v>0</v>
      </c>
      <c r="S14" s="66"/>
      <c r="T14" s="67">
        <f>SUM(N14*20%)</f>
        <v>8634.8179999999993</v>
      </c>
      <c r="U14" s="61">
        <f t="shared" si="8"/>
        <v>88336.001000000004</v>
      </c>
      <c r="V14" s="61">
        <f>SUM(I14+J14+K14+L14+M14+R14+S14+T14)+0.01</f>
        <v>40844.512000000002</v>
      </c>
      <c r="W14" s="62">
        <f t="shared" si="6"/>
        <v>3906.4979999999996</v>
      </c>
      <c r="X14" s="35">
        <f t="shared" si="7"/>
        <v>92242.498999999996</v>
      </c>
    </row>
    <row r="15" spans="1:24" s="15" customFormat="1" ht="50.25" customHeight="1">
      <c r="A15" s="70" t="s">
        <v>173</v>
      </c>
      <c r="B15" s="27" t="s">
        <v>133</v>
      </c>
      <c r="C15" s="25">
        <v>42351.42</v>
      </c>
      <c r="D15" s="26">
        <f>76+17</f>
        <v>93</v>
      </c>
      <c r="E15" s="25">
        <f t="shared" si="9"/>
        <v>4.6500000000000004</v>
      </c>
      <c r="F15" s="25">
        <f t="shared" si="0"/>
        <v>88.35</v>
      </c>
      <c r="G15" s="27">
        <v>45710</v>
      </c>
      <c r="H15" s="25">
        <f t="shared" si="1"/>
        <v>457.1</v>
      </c>
      <c r="I15" s="28">
        <f t="shared" si="2"/>
        <v>40384.784999999996</v>
      </c>
      <c r="J15" s="29">
        <v>0</v>
      </c>
      <c r="K15" s="29">
        <v>500</v>
      </c>
      <c r="L15" s="29">
        <v>800</v>
      </c>
      <c r="M15" s="29">
        <v>0</v>
      </c>
      <c r="N15" s="30">
        <v>51230.68</v>
      </c>
      <c r="O15" s="31">
        <f t="shared" si="3"/>
        <v>39408.215384615381</v>
      </c>
      <c r="P15" s="31">
        <f t="shared" si="4"/>
        <v>11822.464615384619</v>
      </c>
      <c r="Q15" s="31"/>
      <c r="R15" s="32">
        <v>0</v>
      </c>
      <c r="S15" s="48"/>
      <c r="T15" s="67">
        <f>SUM(N15*20%)-6220.92</f>
        <v>4025.2160000000003</v>
      </c>
      <c r="U15" s="61">
        <f>SUM(I15+J15+K15+L15+M15+N15+Q15+R15+S15+T15)+0.01</f>
        <v>96940.690999999992</v>
      </c>
      <c r="V15" s="61">
        <f t="shared" si="5"/>
        <v>45710.000999999997</v>
      </c>
      <c r="W15" s="62">
        <f t="shared" si="6"/>
        <v>-9.9999999656574801E-4</v>
      </c>
      <c r="X15" s="35">
        <f t="shared" si="7"/>
        <v>96940.68</v>
      </c>
    </row>
    <row r="16" spans="1:24" s="15" customFormat="1" ht="40.5" customHeight="1">
      <c r="A16" s="53" t="s">
        <v>174</v>
      </c>
      <c r="B16" s="27" t="s">
        <v>162</v>
      </c>
      <c r="C16" s="25">
        <v>23957.09</v>
      </c>
      <c r="D16" s="26">
        <f>52+10</f>
        <v>62</v>
      </c>
      <c r="E16" s="25">
        <f t="shared" si="9"/>
        <v>3.1</v>
      </c>
      <c r="F16" s="25">
        <f t="shared" si="0"/>
        <v>58.9</v>
      </c>
      <c r="G16" s="27">
        <v>20789</v>
      </c>
      <c r="H16" s="25">
        <f t="shared" si="1"/>
        <v>207.89</v>
      </c>
      <c r="I16" s="28">
        <f t="shared" si="2"/>
        <v>12244.721</v>
      </c>
      <c r="J16" s="29"/>
      <c r="K16" s="29">
        <v>500</v>
      </c>
      <c r="L16" s="29">
        <v>500</v>
      </c>
      <c r="M16" s="29">
        <v>500</v>
      </c>
      <c r="N16" s="30">
        <v>37696.559999999998</v>
      </c>
      <c r="O16" s="31">
        <f t="shared" si="3"/>
        <v>28997.353846153845</v>
      </c>
      <c r="P16" s="31">
        <f t="shared" si="4"/>
        <v>8699.206153846153</v>
      </c>
      <c r="Q16" s="31"/>
      <c r="R16" s="32">
        <v>0</v>
      </c>
      <c r="S16" s="48">
        <f>SUM(N16*15%)</f>
        <v>5654.4839999999995</v>
      </c>
      <c r="T16" s="48"/>
      <c r="U16" s="61">
        <f>SUM(I16+J16+K16+L16+M16+N16+Q16+R16+S16+T16)-0.01</f>
        <v>57095.75499999999</v>
      </c>
      <c r="V16" s="61">
        <f t="shared" si="5"/>
        <v>19399.204999999998</v>
      </c>
      <c r="W16" s="62">
        <f t="shared" si="6"/>
        <v>1389.795000000001</v>
      </c>
      <c r="X16" s="35">
        <f t="shared" si="7"/>
        <v>58485.56</v>
      </c>
    </row>
    <row r="17" spans="1:24" s="15" customFormat="1" ht="37.5" customHeight="1">
      <c r="A17" s="69" t="s">
        <v>175</v>
      </c>
      <c r="B17" s="36" t="s">
        <v>180</v>
      </c>
      <c r="C17" s="25">
        <v>16037.59</v>
      </c>
      <c r="D17" s="26">
        <v>69</v>
      </c>
      <c r="E17" s="25">
        <f t="shared" si="9"/>
        <v>3.45</v>
      </c>
      <c r="F17" s="25">
        <f t="shared" si="0"/>
        <v>65.55</v>
      </c>
      <c r="G17" s="27">
        <v>35644</v>
      </c>
      <c r="H17" s="25">
        <f t="shared" si="1"/>
        <v>356.44</v>
      </c>
      <c r="I17" s="28">
        <f t="shared" si="2"/>
        <v>23364.642</v>
      </c>
      <c r="J17" s="68"/>
      <c r="K17" s="29">
        <v>500</v>
      </c>
      <c r="L17" s="29">
        <f>800</f>
        <v>800</v>
      </c>
      <c r="M17" s="29">
        <v>500</v>
      </c>
      <c r="N17" s="30">
        <v>38160.43</v>
      </c>
      <c r="O17" s="31">
        <f t="shared" si="3"/>
        <v>29354.176923076921</v>
      </c>
      <c r="P17" s="31">
        <f t="shared" si="4"/>
        <v>8806.2530769230798</v>
      </c>
      <c r="Q17" s="31"/>
      <c r="R17" s="32">
        <v>0</v>
      </c>
      <c r="S17" s="48">
        <f>SUM(N17*15%)</f>
        <v>5724.0644999999995</v>
      </c>
      <c r="T17" s="48"/>
      <c r="U17" s="61">
        <f>SUM(I17+J17+K17+L17+M17+N17+Q17+R17+S17+T17)-0.01</f>
        <v>69049.126499999998</v>
      </c>
      <c r="V17" s="61">
        <f>SUM(I17+J17+K17+L17+M17+R17+S17+T17)</f>
        <v>30888.7065</v>
      </c>
      <c r="W17" s="62">
        <f t="shared" si="6"/>
        <v>4755.2935000000007</v>
      </c>
      <c r="X17" s="35">
        <f t="shared" si="7"/>
        <v>73804.429999999993</v>
      </c>
    </row>
    <row r="18" spans="1:24" s="15" customFormat="1" ht="38.25" customHeight="1">
      <c r="A18" s="53" t="s">
        <v>176</v>
      </c>
      <c r="B18" s="27" t="s">
        <v>66</v>
      </c>
      <c r="C18" s="25">
        <v>20322</v>
      </c>
      <c r="D18" s="26">
        <v>82</v>
      </c>
      <c r="E18" s="25">
        <f t="shared" si="9"/>
        <v>4.0999999999999996</v>
      </c>
      <c r="F18" s="25">
        <f t="shared" si="0"/>
        <v>77.900000000000006</v>
      </c>
      <c r="G18" s="27">
        <v>24554</v>
      </c>
      <c r="H18" s="25">
        <f t="shared" si="1"/>
        <v>245.54</v>
      </c>
      <c r="I18" s="28">
        <f t="shared" si="2"/>
        <v>19127.566000000003</v>
      </c>
      <c r="J18" s="29"/>
      <c r="K18" s="29">
        <v>800</v>
      </c>
      <c r="L18" s="29">
        <v>800</v>
      </c>
      <c r="M18" s="29">
        <v>500</v>
      </c>
      <c r="N18" s="30">
        <v>37409.46</v>
      </c>
      <c r="O18" s="31">
        <f t="shared" si="3"/>
        <v>28776.507692307692</v>
      </c>
      <c r="P18" s="31">
        <f t="shared" si="4"/>
        <v>8632.9523076923069</v>
      </c>
      <c r="Q18" s="31"/>
      <c r="R18" s="32">
        <v>0</v>
      </c>
      <c r="S18" s="48">
        <f>SUM(N18*15%)-2284.99</f>
        <v>3326.4290000000001</v>
      </c>
      <c r="T18" s="48"/>
      <c r="U18" s="61">
        <f>SUM(I18+J18+K18+L18+M18+N18+Q18+R18+S18+T18)</f>
        <v>61963.455000000002</v>
      </c>
      <c r="V18" s="61">
        <f t="shared" si="5"/>
        <v>24553.995000000003</v>
      </c>
      <c r="W18" s="62">
        <f t="shared" si="6"/>
        <v>4.9999999973806553E-3</v>
      </c>
      <c r="X18" s="35">
        <f t="shared" si="7"/>
        <v>61963.46</v>
      </c>
    </row>
    <row r="19" spans="1:24" s="15" customFormat="1" ht="37.5" customHeight="1">
      <c r="A19" s="53" t="s">
        <v>177</v>
      </c>
      <c r="B19" s="27" t="s">
        <v>139</v>
      </c>
      <c r="C19" s="25"/>
      <c r="D19" s="26">
        <v>66</v>
      </c>
      <c r="E19" s="25">
        <f t="shared" si="9"/>
        <v>3.3</v>
      </c>
      <c r="F19" s="25">
        <f t="shared" si="0"/>
        <v>62.7</v>
      </c>
      <c r="G19" s="27">
        <v>28608</v>
      </c>
      <c r="H19" s="25">
        <f t="shared" si="1"/>
        <v>286.08</v>
      </c>
      <c r="I19" s="28">
        <f t="shared" si="2"/>
        <v>17937.216</v>
      </c>
      <c r="J19" s="68"/>
      <c r="K19" s="29">
        <f>500-500</f>
        <v>0</v>
      </c>
      <c r="L19" s="29">
        <v>800</v>
      </c>
      <c r="M19" s="29">
        <v>500</v>
      </c>
      <c r="N19" s="30">
        <v>37929.99</v>
      </c>
      <c r="O19" s="31">
        <f t="shared" si="3"/>
        <v>29176.915384615382</v>
      </c>
      <c r="P19" s="31">
        <f t="shared" si="4"/>
        <v>8753.0746153846158</v>
      </c>
      <c r="Q19" s="31">
        <f>SUM(N19*10%)</f>
        <v>3792.9989999999998</v>
      </c>
      <c r="R19" s="32">
        <v>0</v>
      </c>
      <c r="S19" s="48">
        <f>SUM(N19*15%)</f>
        <v>5689.4984999999997</v>
      </c>
      <c r="T19" s="48"/>
      <c r="U19" s="61">
        <f>SUM(I19+J19+K19+L19+M19+N19+Q19+R19+S19+T19)+0.01</f>
        <v>66649.713499999998</v>
      </c>
      <c r="V19" s="61">
        <f>SUM(I19+J19+K19+L19+M19+R19+S19+T19)-0.01</f>
        <v>24926.704500000003</v>
      </c>
      <c r="W19" s="62">
        <f t="shared" si="6"/>
        <v>3681.2855</v>
      </c>
      <c r="X19" s="35">
        <f t="shared" si="7"/>
        <v>70330.988999999987</v>
      </c>
    </row>
    <row r="20" spans="1:24" s="15" customFormat="1" ht="40.5" customHeight="1">
      <c r="A20" s="53" t="s">
        <v>178</v>
      </c>
      <c r="B20" s="27" t="s">
        <v>183</v>
      </c>
      <c r="C20" s="25">
        <v>10173.83</v>
      </c>
      <c r="D20" s="26">
        <v>35</v>
      </c>
      <c r="E20" s="25">
        <f t="shared" si="9"/>
        <v>1.75</v>
      </c>
      <c r="F20" s="25">
        <f t="shared" si="0"/>
        <v>33.25</v>
      </c>
      <c r="G20" s="27">
        <v>21364</v>
      </c>
      <c r="H20" s="25">
        <f t="shared" si="1"/>
        <v>213.64</v>
      </c>
      <c r="I20" s="28">
        <f t="shared" si="2"/>
        <v>7103.53</v>
      </c>
      <c r="J20" s="29"/>
      <c r="K20" s="29">
        <v>500</v>
      </c>
      <c r="L20" s="29">
        <f>800</f>
        <v>800</v>
      </c>
      <c r="M20" s="29">
        <v>500</v>
      </c>
      <c r="N20" s="30">
        <v>33272.449999999997</v>
      </c>
      <c r="O20" s="31">
        <f t="shared" si="3"/>
        <v>25594.192307692305</v>
      </c>
      <c r="P20" s="31">
        <f t="shared" si="4"/>
        <v>7678.2576923076922</v>
      </c>
      <c r="Q20" s="31"/>
      <c r="R20" s="32">
        <v>0</v>
      </c>
      <c r="S20" s="48">
        <f>SUM(N20*15%)</f>
        <v>4990.8674999999994</v>
      </c>
      <c r="T20" s="48"/>
      <c r="U20" s="61">
        <f>SUM(I20+J20+K20+L20+M20+N20+Q20+R20+S20+T20)</f>
        <v>47166.847499999996</v>
      </c>
      <c r="V20" s="61">
        <f t="shared" si="5"/>
        <v>13894.397499999999</v>
      </c>
      <c r="W20" s="62">
        <f t="shared" si="6"/>
        <v>7469.6025000000018</v>
      </c>
      <c r="X20" s="35">
        <f t="shared" si="7"/>
        <v>54636.45</v>
      </c>
    </row>
    <row r="21" spans="1:24" s="15" customFormat="1" ht="19.149999999999999" customHeight="1">
      <c r="A21" s="8" t="s">
        <v>119</v>
      </c>
    </row>
    <row r="22" spans="1:24" s="15" customFormat="1" ht="19.149999999999999" customHeight="1" thickBot="1">
      <c r="L22" s="15" t="s">
        <v>186</v>
      </c>
    </row>
    <row r="23" spans="1:24" s="15" customFormat="1" ht="19.149999999999999" customHeight="1">
      <c r="A23" s="4" t="s">
        <v>63</v>
      </c>
      <c r="B23" s="15" t="s">
        <v>120</v>
      </c>
      <c r="L23" s="15" t="s">
        <v>187</v>
      </c>
    </row>
    <row r="24" spans="1:24" s="15" customFormat="1" ht="19.149999999999999" customHeight="1">
      <c r="A24" s="5" t="s">
        <v>64</v>
      </c>
      <c r="B24" s="15" t="s">
        <v>121</v>
      </c>
    </row>
    <row r="25" spans="1:24" s="15" customFormat="1" ht="19.149999999999999" customHeight="1">
      <c r="A25" s="3" t="s">
        <v>65</v>
      </c>
      <c r="B25" s="15" t="s">
        <v>122</v>
      </c>
    </row>
    <row r="26" spans="1:24" s="15" customFormat="1" ht="19.149999999999999" customHeight="1">
      <c r="A26" s="3" t="s">
        <v>67</v>
      </c>
      <c r="B26" s="15" t="s">
        <v>123</v>
      </c>
    </row>
    <row r="27" spans="1:24" s="15" customFormat="1" ht="19.149999999999999" customHeight="1">
      <c r="A27" s="3" t="s">
        <v>68</v>
      </c>
      <c r="B27" s="15" t="s">
        <v>124</v>
      </c>
    </row>
    <row r="28" spans="1:24" s="15" customFormat="1" ht="19.149999999999999" customHeight="1">
      <c r="A28" s="5" t="s">
        <v>117</v>
      </c>
      <c r="B28" s="15" t="s">
        <v>125</v>
      </c>
    </row>
    <row r="29" spans="1:24" s="15" customFormat="1" ht="19.149999999999999" customHeight="1">
      <c r="A29" s="5" t="s">
        <v>128</v>
      </c>
      <c r="B29" s="15" t="s">
        <v>129</v>
      </c>
    </row>
    <row r="30" spans="1:24" s="15" customFormat="1" ht="19.149999999999999" hidden="1" customHeight="1">
      <c r="A30" s="8" t="s">
        <v>130</v>
      </c>
      <c r="B30" s="15" t="s">
        <v>131</v>
      </c>
    </row>
    <row r="31" spans="1:24" s="15" customFormat="1" ht="19.149999999999999" customHeight="1"/>
    <row r="32" spans="1:24" s="15" customFormat="1" ht="19.149999999999999" customHeight="1"/>
    <row r="33" s="15" customFormat="1" ht="19.149999999999999" customHeight="1"/>
    <row r="34" s="15" customFormat="1"/>
    <row r="35" s="15" customFormat="1"/>
    <row r="36" s="15" customFormat="1"/>
    <row r="37" s="15" customFormat="1"/>
    <row r="38" s="15" customFormat="1"/>
    <row r="39" s="15" customFormat="1"/>
    <row r="40" s="15" customFormat="1"/>
    <row r="41" s="15" customFormat="1"/>
    <row r="42" s="15" customFormat="1"/>
    <row r="43" s="15" customFormat="1"/>
    <row r="44" s="15" customFormat="1"/>
    <row r="45" s="15" customFormat="1"/>
    <row r="46" s="15" customFormat="1"/>
    <row r="47" s="15" customFormat="1"/>
    <row r="48" s="15" customFormat="1"/>
    <row r="49" s="15" customFormat="1"/>
    <row r="50" s="15" customFormat="1"/>
    <row r="51" s="15" customFormat="1"/>
    <row r="52" s="15" customFormat="1"/>
    <row r="53" s="15" customFormat="1"/>
    <row r="54" s="15" customFormat="1"/>
    <row r="55" s="15" customFormat="1"/>
    <row r="56" s="15" customFormat="1"/>
    <row r="57" s="15" customFormat="1"/>
    <row r="58" s="15" customFormat="1"/>
    <row r="59" s="15" customFormat="1"/>
    <row r="60" s="15" customFormat="1"/>
    <row r="61" s="15" customFormat="1"/>
    <row r="62" s="15" customFormat="1"/>
    <row r="63" s="15" customFormat="1"/>
    <row r="64" s="15" customFormat="1"/>
    <row r="65" s="15" customFormat="1"/>
    <row r="66" s="15" customFormat="1"/>
    <row r="67" s="15" customFormat="1"/>
    <row r="68" s="15" customFormat="1"/>
    <row r="69" s="15" customFormat="1"/>
  </sheetData>
  <mergeCells count="12">
    <mergeCell ref="T4:T5"/>
    <mergeCell ref="V4:V5"/>
    <mergeCell ref="C4:C5"/>
    <mergeCell ref="D4:D5"/>
    <mergeCell ref="E4:E5"/>
    <mergeCell ref="F4:F5"/>
    <mergeCell ref="W4:W5"/>
    <mergeCell ref="X4:X5"/>
    <mergeCell ref="N4:P4"/>
    <mergeCell ref="Q4:Q5"/>
    <mergeCell ref="R4:R5"/>
    <mergeCell ref="S4:S5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53" orientation="landscape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Y7"/>
  <sheetViews>
    <sheetView view="pageBreakPreview" zoomScale="85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1" sqref="P1"/>
    </sheetView>
  </sheetViews>
  <sheetFormatPr defaultRowHeight="15"/>
  <cols>
    <col min="1" max="1" width="40.7109375" customWidth="1"/>
    <col min="2" max="2" width="21" customWidth="1"/>
    <col min="3" max="9" width="0" hidden="1" customWidth="1"/>
    <col min="10" max="12" width="9.5703125" bestFit="1" customWidth="1"/>
    <col min="13" max="13" width="12.42578125" customWidth="1"/>
    <col min="14" max="14" width="7.140625" customWidth="1"/>
    <col min="15" max="15" width="7" customWidth="1"/>
    <col min="16" max="16" width="11.42578125" customWidth="1"/>
    <col min="17" max="17" width="11" customWidth="1"/>
    <col min="18" max="18" width="10.7109375" customWidth="1"/>
    <col min="19" max="19" width="0.28515625" customWidth="1"/>
    <col min="20" max="20" width="12.85546875" customWidth="1"/>
    <col min="21" max="21" width="11" customWidth="1"/>
    <col min="22" max="22" width="13" hidden="1" customWidth="1"/>
    <col min="23" max="23" width="9.42578125" hidden="1" customWidth="1"/>
    <col min="24" max="24" width="12.140625" hidden="1" customWidth="1"/>
    <col min="25" max="25" width="8.85546875" hidden="1" customWidth="1"/>
  </cols>
  <sheetData>
    <row r="1" spans="1:24" ht="18.75" customHeight="1">
      <c r="A1" s="1" t="s">
        <v>199</v>
      </c>
      <c r="B1" s="1"/>
      <c r="C1" s="1"/>
      <c r="D1" s="1"/>
      <c r="E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5.75" customHeight="1" thickBot="1"/>
    <row r="3" spans="1:24" s="15" customFormat="1" ht="81" customHeight="1" thickBot="1">
      <c r="A3" s="57" t="s">
        <v>0</v>
      </c>
      <c r="B3" s="57" t="s">
        <v>1</v>
      </c>
      <c r="C3" s="71" t="s">
        <v>24</v>
      </c>
      <c r="D3" s="19"/>
      <c r="E3" s="71" t="s">
        <v>31</v>
      </c>
      <c r="F3" s="17"/>
      <c r="G3" s="17"/>
      <c r="H3" s="17"/>
      <c r="I3" s="19"/>
      <c r="J3" s="72" t="s">
        <v>11</v>
      </c>
      <c r="K3" s="58" t="s">
        <v>12</v>
      </c>
      <c r="L3" s="13" t="s">
        <v>13</v>
      </c>
      <c r="M3" s="13" t="s">
        <v>14</v>
      </c>
      <c r="N3" s="13" t="s">
        <v>72</v>
      </c>
      <c r="O3" s="13" t="s">
        <v>90</v>
      </c>
      <c r="P3" s="169" t="s">
        <v>112</v>
      </c>
      <c r="Q3" s="169"/>
      <c r="R3" s="169"/>
      <c r="S3" s="169" t="s">
        <v>116</v>
      </c>
      <c r="T3" s="173" t="s">
        <v>137</v>
      </c>
      <c r="U3" s="73" t="s">
        <v>15</v>
      </c>
      <c r="V3" s="167" t="s">
        <v>126</v>
      </c>
      <c r="W3" s="177" t="s">
        <v>74</v>
      </c>
      <c r="X3" s="170" t="s">
        <v>164</v>
      </c>
    </row>
    <row r="4" spans="1:24" s="15" customFormat="1" ht="39.75" customHeight="1" thickBot="1">
      <c r="A4" s="59"/>
      <c r="B4" s="59"/>
      <c r="C4" s="17" t="s">
        <v>4</v>
      </c>
      <c r="D4" s="18" t="s">
        <v>25</v>
      </c>
      <c r="E4" s="18" t="s">
        <v>7</v>
      </c>
      <c r="F4" s="19" t="s">
        <v>28</v>
      </c>
      <c r="G4" s="19" t="s">
        <v>29</v>
      </c>
      <c r="H4" s="18" t="s">
        <v>26</v>
      </c>
      <c r="I4" s="18" t="s">
        <v>27</v>
      </c>
      <c r="J4" s="60"/>
      <c r="K4" s="60"/>
      <c r="L4" s="60"/>
      <c r="M4" s="60"/>
      <c r="N4" s="20"/>
      <c r="O4" s="20"/>
      <c r="P4" s="21" t="s">
        <v>113</v>
      </c>
      <c r="Q4" s="21" t="s">
        <v>114</v>
      </c>
      <c r="R4" s="21" t="s">
        <v>115</v>
      </c>
      <c r="S4" s="169"/>
      <c r="T4" s="173"/>
      <c r="U4" s="74"/>
      <c r="V4" s="168"/>
      <c r="W4" s="178"/>
      <c r="X4" s="170"/>
    </row>
    <row r="5" spans="1:24" s="15" customFormat="1" ht="32.450000000000003" customHeight="1">
      <c r="A5" s="22" t="s">
        <v>200</v>
      </c>
      <c r="B5" s="27" t="s">
        <v>181</v>
      </c>
      <c r="C5" s="75">
        <v>32</v>
      </c>
      <c r="D5" s="27">
        <v>8</v>
      </c>
      <c r="E5" s="27">
        <v>15</v>
      </c>
      <c r="F5" s="76">
        <v>8</v>
      </c>
      <c r="G5" s="27">
        <v>7</v>
      </c>
      <c r="H5" s="27">
        <v>10</v>
      </c>
      <c r="I5" s="27">
        <v>10</v>
      </c>
      <c r="J5" s="77">
        <v>65</v>
      </c>
      <c r="K5" s="27">
        <f>27738/3*1.5</f>
        <v>13869</v>
      </c>
      <c r="L5" s="25">
        <f>SUM(K5/100)</f>
        <v>138.69</v>
      </c>
      <c r="M5" s="28">
        <f>SUM(J5*L5)</f>
        <v>9014.85</v>
      </c>
      <c r="N5" s="29"/>
      <c r="O5" s="29">
        <v>0</v>
      </c>
      <c r="P5" s="30">
        <v>38791.07</v>
      </c>
      <c r="Q5" s="31">
        <f>SUM(P5/1.3)</f>
        <v>29839.284615384615</v>
      </c>
      <c r="R5" s="31">
        <f>SUM(P5-Q5)</f>
        <v>8951.7853846153848</v>
      </c>
      <c r="S5" s="32"/>
      <c r="T5" s="32"/>
      <c r="U5" s="78">
        <f>SUM(M5+N5+O5+P5+S5+T5)</f>
        <v>47805.919999999998</v>
      </c>
      <c r="V5" s="61">
        <f>SUM(M5+N5+O5+T5)</f>
        <v>9014.85</v>
      </c>
      <c r="W5" s="79">
        <f>SUM(K5-M5-N5-O5)</f>
        <v>4854.1499999999996</v>
      </c>
      <c r="X5" s="80">
        <f>SUM(K5+P5)</f>
        <v>52660.07</v>
      </c>
    </row>
    <row r="6" spans="1:24" s="15" customFormat="1" ht="46.9" customHeight="1">
      <c r="A6" s="50" t="s">
        <v>201</v>
      </c>
      <c r="B6" s="63" t="s">
        <v>136</v>
      </c>
      <c r="C6" s="75">
        <v>32</v>
      </c>
      <c r="D6" s="27">
        <v>10</v>
      </c>
      <c r="E6" s="27">
        <v>15</v>
      </c>
      <c r="F6" s="76">
        <v>8</v>
      </c>
      <c r="G6" s="27">
        <v>0</v>
      </c>
      <c r="H6" s="27">
        <v>10</v>
      </c>
      <c r="I6" s="27">
        <v>10</v>
      </c>
      <c r="J6" s="77">
        <v>80</v>
      </c>
      <c r="K6" s="27">
        <f>30937/3*1.5</f>
        <v>15468.5</v>
      </c>
      <c r="L6" s="25">
        <f>SUM(K6/100)</f>
        <v>154.685</v>
      </c>
      <c r="M6" s="28">
        <f>SUM(J6*L6)</f>
        <v>12374.8</v>
      </c>
      <c r="N6" s="29"/>
      <c r="O6" s="29">
        <v>500</v>
      </c>
      <c r="P6" s="30">
        <v>39680.660000000003</v>
      </c>
      <c r="Q6" s="31">
        <f>SUM(P6/1.3)</f>
        <v>30523.584615384618</v>
      </c>
      <c r="R6" s="31">
        <f>SUM(P6-Q6)</f>
        <v>9157.0753846153857</v>
      </c>
      <c r="S6" s="32"/>
      <c r="T6" s="31">
        <f>SUM(P6*15%)-3358.4</f>
        <v>2593.6990000000001</v>
      </c>
      <c r="U6" s="78">
        <f>SUM(M6+N6+O6+P6+S6+T6)</f>
        <v>55149.159000000007</v>
      </c>
      <c r="V6" s="61">
        <f>SUM(M6+N6+O6+T6)</f>
        <v>15468.499</v>
      </c>
      <c r="W6" s="35">
        <f>SUM(K6-M6-N6-O6-T6)</f>
        <v>1.0000000006584742E-3</v>
      </c>
      <c r="X6" s="80">
        <f>SUM(K6+P6)</f>
        <v>55149.16</v>
      </c>
    </row>
    <row r="7" spans="1:24">
      <c r="J7" s="2"/>
    </row>
  </sheetData>
  <mergeCells count="6">
    <mergeCell ref="W3:W4"/>
    <mergeCell ref="X3:X4"/>
    <mergeCell ref="P3:R3"/>
    <mergeCell ref="S3:S4"/>
    <mergeCell ref="T3:T4"/>
    <mergeCell ref="V3:V4"/>
  </mergeCells>
  <phoneticPr fontId="22" type="noConversion"/>
  <pageMargins left="0.7" right="0.7" top="0.75" bottom="0.75" header="0.3" footer="0.3"/>
  <pageSetup paperSize="9" scale="70" orientation="landscape" r:id="rId1"/>
  <colBreaks count="1" manualBreakCount="1">
    <brk id="25" max="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8"/>
  <sheetViews>
    <sheetView view="pageBreakPreview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1" sqref="R1"/>
    </sheetView>
  </sheetViews>
  <sheetFormatPr defaultRowHeight="15"/>
  <cols>
    <col min="1" max="1" width="26.7109375" customWidth="1"/>
    <col min="2" max="2" width="19" customWidth="1"/>
    <col min="3" max="3" width="9.85546875" hidden="1" customWidth="1"/>
    <col min="4" max="7" width="0" hidden="1" customWidth="1"/>
    <col min="8" max="8" width="6" customWidth="1"/>
    <col min="9" max="9" width="8.28515625" customWidth="1"/>
    <col min="10" max="10" width="7.28515625" customWidth="1"/>
    <col min="11" max="11" width="13" customWidth="1"/>
    <col min="12" max="12" width="9.7109375" customWidth="1"/>
    <col min="13" max="13" width="6" customWidth="1"/>
    <col min="14" max="14" width="10.28515625" customWidth="1"/>
    <col min="15" max="15" width="10.7109375" customWidth="1"/>
    <col min="16" max="16" width="11.28515625" customWidth="1"/>
    <col min="17" max="17" width="11.7109375" customWidth="1"/>
    <col min="18" max="18" width="7.5703125" customWidth="1"/>
    <col min="19" max="19" width="11" customWidth="1"/>
    <col min="20" max="20" width="11.7109375" customWidth="1"/>
    <col min="21" max="21" width="10.42578125" hidden="1" customWidth="1"/>
    <col min="22" max="22" width="8" hidden="1" customWidth="1"/>
    <col min="23" max="23" width="11.7109375" hidden="1" customWidth="1"/>
    <col min="24" max="24" width="9.42578125" customWidth="1"/>
  </cols>
  <sheetData>
    <row r="1" spans="1:24" ht="48.75" customHeight="1">
      <c r="A1" s="1" t="s">
        <v>192</v>
      </c>
      <c r="B1" s="1"/>
      <c r="C1" s="1"/>
      <c r="D1" s="1"/>
      <c r="E1" s="1"/>
      <c r="R1" s="1"/>
      <c r="S1" s="1"/>
      <c r="T1" s="1"/>
      <c r="U1" s="1"/>
      <c r="V1" s="1"/>
    </row>
    <row r="2" spans="1:24" ht="47.25" customHeight="1" thickBot="1"/>
    <row r="3" spans="1:24" s="15" customFormat="1" ht="87" customHeight="1" thickBot="1">
      <c r="A3" s="57" t="s">
        <v>0</v>
      </c>
      <c r="B3" s="57" t="s">
        <v>1</v>
      </c>
      <c r="C3" s="71" t="s">
        <v>24</v>
      </c>
      <c r="D3" s="71" t="s">
        <v>30</v>
      </c>
      <c r="E3" s="19"/>
      <c r="F3" s="81" t="s">
        <v>34</v>
      </c>
      <c r="G3" s="17"/>
      <c r="H3" s="72" t="s">
        <v>11</v>
      </c>
      <c r="I3" s="58" t="s">
        <v>12</v>
      </c>
      <c r="J3" s="13" t="s">
        <v>13</v>
      </c>
      <c r="K3" s="13" t="s">
        <v>14</v>
      </c>
      <c r="L3" s="13" t="s">
        <v>83</v>
      </c>
      <c r="M3" s="13" t="s">
        <v>88</v>
      </c>
      <c r="N3" s="13" t="s">
        <v>90</v>
      </c>
      <c r="O3" s="169" t="s">
        <v>112</v>
      </c>
      <c r="P3" s="169"/>
      <c r="Q3" s="169"/>
      <c r="R3" s="169" t="s">
        <v>116</v>
      </c>
      <c r="S3" s="160" t="s">
        <v>137</v>
      </c>
      <c r="T3" s="73" t="s">
        <v>15</v>
      </c>
      <c r="U3" s="179" t="s">
        <v>157</v>
      </c>
      <c r="V3" s="21" t="s">
        <v>75</v>
      </c>
      <c r="W3" s="170" t="s">
        <v>164</v>
      </c>
    </row>
    <row r="4" spans="1:24" s="15" customFormat="1" ht="41.25" customHeight="1" thickBot="1">
      <c r="A4" s="59"/>
      <c r="B4" s="59"/>
      <c r="C4" s="17" t="s">
        <v>4</v>
      </c>
      <c r="D4" s="18" t="s">
        <v>32</v>
      </c>
      <c r="E4" s="19" t="s">
        <v>33</v>
      </c>
      <c r="F4" s="18" t="s">
        <v>35</v>
      </c>
      <c r="G4" s="18" t="s">
        <v>36</v>
      </c>
      <c r="H4" s="60"/>
      <c r="I4" s="60"/>
      <c r="J4" s="60"/>
      <c r="K4" s="60"/>
      <c r="L4" s="60"/>
      <c r="M4" s="20"/>
      <c r="N4" s="20"/>
      <c r="O4" s="21" t="s">
        <v>113</v>
      </c>
      <c r="P4" s="21" t="s">
        <v>114</v>
      </c>
      <c r="Q4" s="21" t="s">
        <v>115</v>
      </c>
      <c r="R4" s="169"/>
      <c r="S4" s="161"/>
      <c r="T4" s="74"/>
      <c r="U4" s="179"/>
      <c r="V4" s="79"/>
      <c r="W4" s="170"/>
    </row>
    <row r="5" spans="1:24" s="15" customFormat="1" ht="42" customHeight="1">
      <c r="A5" s="88" t="s">
        <v>202</v>
      </c>
      <c r="B5" s="25" t="s">
        <v>111</v>
      </c>
      <c r="C5" s="84">
        <v>8</v>
      </c>
      <c r="D5" s="25">
        <v>0</v>
      </c>
      <c r="E5" s="85">
        <v>0</v>
      </c>
      <c r="F5" s="25">
        <v>0</v>
      </c>
      <c r="G5" s="25">
        <v>0</v>
      </c>
      <c r="H5" s="77">
        <v>67</v>
      </c>
      <c r="I5" s="25">
        <v>36192</v>
      </c>
      <c r="J5" s="25">
        <f>SUM(I5/100)</f>
        <v>361.92</v>
      </c>
      <c r="K5" s="28">
        <f>SUM(H5*J5)</f>
        <v>24248.639999999999</v>
      </c>
      <c r="L5" s="28">
        <v>0</v>
      </c>
      <c r="M5" s="31">
        <v>0</v>
      </c>
      <c r="N5" s="31">
        <v>500</v>
      </c>
      <c r="O5" s="31">
        <v>41215.42</v>
      </c>
      <c r="P5" s="31">
        <f>SUM(O5/1.3)</f>
        <v>31704.169230769228</v>
      </c>
      <c r="Q5" s="31">
        <f>SUM(O5-P5)</f>
        <v>9511.2507692307699</v>
      </c>
      <c r="R5" s="31"/>
      <c r="S5" s="31">
        <f>SUM(O5*15%)</f>
        <v>6182.3129999999992</v>
      </c>
      <c r="T5" s="86">
        <f>SUM(K5+L5+M5+N5+O5+R5+S5)</f>
        <v>72146.372999999992</v>
      </c>
      <c r="U5" s="87">
        <f>SUM(K5+L5+M5+N5+S5)</f>
        <v>30930.952999999998</v>
      </c>
      <c r="V5" s="79">
        <f>SUM(I5-K5-L5-M5-N5-S5)</f>
        <v>5261.0470000000014</v>
      </c>
      <c r="W5" s="35">
        <f>SUM(I5+O5)</f>
        <v>77407.42</v>
      </c>
      <c r="X5" s="15">
        <f>SUM(O5*15%)</f>
        <v>6182.3129999999992</v>
      </c>
    </row>
    <row r="8" spans="1:24">
      <c r="R8" t="s">
        <v>87</v>
      </c>
    </row>
  </sheetData>
  <mergeCells count="5">
    <mergeCell ref="W3:W4"/>
    <mergeCell ref="O3:Q3"/>
    <mergeCell ref="R3:R4"/>
    <mergeCell ref="U3:U4"/>
    <mergeCell ref="S3:S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5"/>
  <sheetViews>
    <sheetView view="pageBreakPreview" zoomScaleNormal="100" zoomScaleSheetLayoutView="100" workbookViewId="0">
      <selection activeCell="AC23" sqref="AC23"/>
    </sheetView>
  </sheetViews>
  <sheetFormatPr defaultRowHeight="15"/>
  <cols>
    <col min="1" max="1" width="26.140625" customWidth="1"/>
    <col min="2" max="2" width="16.285156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8" width="7.7109375" customWidth="1"/>
    <col min="29" max="29" width="9.42578125" bestFit="1" customWidth="1"/>
    <col min="30" max="30" width="11.42578125" customWidth="1"/>
    <col min="31" max="31" width="6.7109375" customWidth="1"/>
    <col min="32" max="32" width="11" customWidth="1"/>
    <col min="33" max="33" width="11.28515625" customWidth="1"/>
    <col min="34" max="34" width="10.28515625" customWidth="1"/>
    <col min="35" max="35" width="7.85546875" customWidth="1"/>
    <col min="36" max="36" width="8.7109375" customWidth="1"/>
    <col min="37" max="37" width="10.5703125" customWidth="1"/>
    <col min="38" max="38" width="8.28515625" customWidth="1"/>
    <col min="39" max="39" width="11" bestFit="1" customWidth="1"/>
    <col min="40" max="40" width="12.5703125" hidden="1" customWidth="1"/>
    <col min="41" max="41" width="9.28515625" hidden="1" customWidth="1"/>
    <col min="42" max="42" width="8.85546875" hidden="1" customWidth="1"/>
  </cols>
  <sheetData>
    <row r="1" spans="1:42" s="15" customFormat="1" ht="36.75" customHeight="1">
      <c r="A1" s="56" t="s">
        <v>192</v>
      </c>
      <c r="B1" s="56"/>
      <c r="C1" s="56"/>
      <c r="D1" s="56"/>
      <c r="E1" s="56"/>
      <c r="L1" s="56"/>
      <c r="M1" s="56"/>
      <c r="N1" s="56"/>
      <c r="O1" s="56"/>
      <c r="P1" s="56"/>
      <c r="Q1" s="56"/>
      <c r="R1" s="56"/>
      <c r="AF1" s="56"/>
      <c r="AG1" s="56"/>
      <c r="AH1" s="56"/>
      <c r="AI1" s="56"/>
      <c r="AJ1" s="56"/>
      <c r="AK1" s="56"/>
      <c r="AL1" s="56"/>
      <c r="AM1" s="56"/>
      <c r="AN1" s="56"/>
      <c r="AO1" s="56"/>
    </row>
    <row r="2" spans="1:42" s="15" customFormat="1" ht="15.75" customHeight="1" thickBot="1"/>
    <row r="3" spans="1:42" s="15" customFormat="1" ht="82.5" customHeight="1" thickBot="1">
      <c r="A3" s="57" t="s">
        <v>0</v>
      </c>
      <c r="B3" s="57" t="s">
        <v>1</v>
      </c>
      <c r="C3" s="71" t="s">
        <v>24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71" t="s">
        <v>61</v>
      </c>
      <c r="S3" s="17"/>
      <c r="T3" s="17"/>
      <c r="U3" s="17"/>
      <c r="V3" s="17"/>
      <c r="W3" s="17"/>
      <c r="X3" s="17"/>
      <c r="Y3" s="17"/>
      <c r="Z3" s="19"/>
      <c r="AA3" s="72" t="s">
        <v>11</v>
      </c>
      <c r="AB3" s="58" t="s">
        <v>12</v>
      </c>
      <c r="AC3" s="13" t="s">
        <v>13</v>
      </c>
      <c r="AD3" s="13" t="s">
        <v>14</v>
      </c>
      <c r="AE3" s="13" t="s">
        <v>71</v>
      </c>
      <c r="AF3" s="169" t="s">
        <v>112</v>
      </c>
      <c r="AG3" s="169"/>
      <c r="AH3" s="169"/>
      <c r="AI3" s="169" t="s">
        <v>116</v>
      </c>
      <c r="AJ3" s="12" t="s">
        <v>90</v>
      </c>
      <c r="AK3" s="180" t="s">
        <v>137</v>
      </c>
      <c r="AL3" s="12" t="s">
        <v>134</v>
      </c>
      <c r="AM3" s="73" t="s">
        <v>15</v>
      </c>
      <c r="AN3" s="179" t="s">
        <v>185</v>
      </c>
      <c r="AO3" s="177" t="s">
        <v>75</v>
      </c>
      <c r="AP3" s="170" t="s">
        <v>164</v>
      </c>
    </row>
    <row r="4" spans="1:42" s="15" customFormat="1" ht="54" customHeight="1" thickBot="1">
      <c r="A4" s="59"/>
      <c r="B4" s="59"/>
      <c r="C4" s="18" t="s">
        <v>4</v>
      </c>
      <c r="D4" s="18" t="s">
        <v>38</v>
      </c>
      <c r="E4" s="18" t="s">
        <v>39</v>
      </c>
      <c r="F4" s="18" t="s">
        <v>40</v>
      </c>
      <c r="G4" s="19" t="s">
        <v>41</v>
      </c>
      <c r="H4" s="18" t="s">
        <v>42</v>
      </c>
      <c r="I4" s="18" t="s">
        <v>43</v>
      </c>
      <c r="J4" s="18" t="s">
        <v>44</v>
      </c>
      <c r="K4" s="18" t="s">
        <v>45</v>
      </c>
      <c r="L4" s="18" t="s">
        <v>46</v>
      </c>
      <c r="M4" s="18" t="s">
        <v>47</v>
      </c>
      <c r="N4" s="19" t="s">
        <v>48</v>
      </c>
      <c r="O4" s="18" t="s">
        <v>60</v>
      </c>
      <c r="P4" s="18" t="s">
        <v>49</v>
      </c>
      <c r="Q4" s="18" t="s">
        <v>50</v>
      </c>
      <c r="R4" s="18" t="s">
        <v>51</v>
      </c>
      <c r="S4" s="18" t="s">
        <v>52</v>
      </c>
      <c r="T4" s="18" t="s">
        <v>53</v>
      </c>
      <c r="U4" s="18" t="s">
        <v>54</v>
      </c>
      <c r="V4" s="18" t="s">
        <v>55</v>
      </c>
      <c r="W4" s="18" t="s">
        <v>56</v>
      </c>
      <c r="X4" s="18" t="s">
        <v>57</v>
      </c>
      <c r="Y4" s="18" t="s">
        <v>58</v>
      </c>
      <c r="Z4" s="18" t="s">
        <v>59</v>
      </c>
      <c r="AA4" s="60"/>
      <c r="AB4" s="60"/>
      <c r="AC4" s="60"/>
      <c r="AD4" s="60"/>
      <c r="AE4" s="20"/>
      <c r="AF4" s="21" t="s">
        <v>113</v>
      </c>
      <c r="AG4" s="21" t="s">
        <v>114</v>
      </c>
      <c r="AH4" s="21" t="s">
        <v>115</v>
      </c>
      <c r="AI4" s="169"/>
      <c r="AJ4" s="20"/>
      <c r="AK4" s="181"/>
      <c r="AL4" s="20"/>
      <c r="AM4" s="74"/>
      <c r="AN4" s="179"/>
      <c r="AO4" s="178"/>
      <c r="AP4" s="170"/>
    </row>
    <row r="5" spans="1:42" s="15" customFormat="1" ht="25.5">
      <c r="A5" s="83" t="s">
        <v>37</v>
      </c>
      <c r="B5" s="89" t="s">
        <v>179</v>
      </c>
      <c r="C5" s="90">
        <v>16</v>
      </c>
      <c r="D5" s="90">
        <v>2</v>
      </c>
      <c r="E5" s="91">
        <v>2</v>
      </c>
      <c r="F5" s="90">
        <v>2</v>
      </c>
      <c r="G5" s="91">
        <v>0</v>
      </c>
      <c r="H5" s="91">
        <v>0</v>
      </c>
      <c r="I5" s="91">
        <v>3</v>
      </c>
      <c r="J5" s="91">
        <v>2</v>
      </c>
      <c r="K5" s="91">
        <v>0</v>
      </c>
      <c r="L5" s="91">
        <v>2</v>
      </c>
      <c r="M5" s="90">
        <v>1</v>
      </c>
      <c r="N5" s="91">
        <v>0</v>
      </c>
      <c r="O5" s="91">
        <v>2</v>
      </c>
      <c r="P5" s="91">
        <v>2</v>
      </c>
      <c r="Q5" s="92">
        <v>2</v>
      </c>
      <c r="R5" s="90">
        <v>2</v>
      </c>
      <c r="S5" s="93">
        <v>1</v>
      </c>
      <c r="T5" s="93">
        <v>2</v>
      </c>
      <c r="U5" s="93">
        <v>1</v>
      </c>
      <c r="V5" s="93">
        <v>1</v>
      </c>
      <c r="W5" s="93">
        <v>2</v>
      </c>
      <c r="X5" s="93">
        <v>0</v>
      </c>
      <c r="Y5" s="93">
        <v>2</v>
      </c>
      <c r="Z5" s="93">
        <v>4</v>
      </c>
      <c r="AA5" s="94">
        <v>77</v>
      </c>
      <c r="AB5" s="95">
        <v>37778</v>
      </c>
      <c r="AC5" s="95">
        <f>SUM(AB5/100)</f>
        <v>377.78</v>
      </c>
      <c r="AD5" s="96">
        <f>SUM(AA5*AC5)</f>
        <v>29089.059999999998</v>
      </c>
      <c r="AE5" s="97"/>
      <c r="AF5" s="97">
        <v>28454.51</v>
      </c>
      <c r="AG5" s="97">
        <f>SUM(AF5/1.3)</f>
        <v>21888.084615384614</v>
      </c>
      <c r="AH5" s="97">
        <f>SUM(AF5-AG5)</f>
        <v>6566.4253846153842</v>
      </c>
      <c r="AI5" s="97"/>
      <c r="AJ5" s="97">
        <v>500</v>
      </c>
      <c r="AK5" s="97">
        <f>SUM(AF5*15%)</f>
        <v>4268.1764999999996</v>
      </c>
      <c r="AL5" s="97"/>
      <c r="AM5" s="98">
        <f>SUM(AD5+AE5+AF5+AI5+AJ5+AL5+AK5)</f>
        <v>62311.746499999994</v>
      </c>
      <c r="AN5" s="99">
        <f>SUM(AD5+AE5+AJ5+AL5+AK5)</f>
        <v>33857.236499999999</v>
      </c>
      <c r="AO5" s="35">
        <f>SUM(AB5-AD5-AE5-AJ5-AL5-AK5)</f>
        <v>3920.7635000000028</v>
      </c>
      <c r="AP5" s="35">
        <f>SUM(AB5+AF5+AI5)</f>
        <v>66232.509999999995</v>
      </c>
    </row>
  </sheetData>
  <mergeCells count="6">
    <mergeCell ref="AO3:AO4"/>
    <mergeCell ref="AP3:AP4"/>
    <mergeCell ref="AF3:AH3"/>
    <mergeCell ref="AI3:AI4"/>
    <mergeCell ref="AK3:AK4"/>
    <mergeCell ref="AN3:AN4"/>
  </mergeCells>
  <phoneticPr fontId="22" type="noConversion"/>
  <pageMargins left="0.7" right="0.7" top="0.75" bottom="0.75" header="0.3" footer="0.3"/>
  <pageSetup paperSize="9" scale="75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2"/>
  <sheetViews>
    <sheetView tabSelected="1" view="pageBreakPreview" zoomScale="85" zoomScaleNormal="100" workbookViewId="0">
      <pane xSplit="1" ySplit="4" topLeftCell="AA5" activePane="bottomRight" state="frozen"/>
      <selection pane="topRight" activeCell="B1" sqref="B1"/>
      <selection pane="bottomLeft" activeCell="A5" sqref="A5"/>
      <selection pane="bottomRight" activeCell="AF9" sqref="AF9"/>
    </sheetView>
  </sheetViews>
  <sheetFormatPr defaultRowHeight="15"/>
  <cols>
    <col min="1" max="1" width="29.7109375" customWidth="1"/>
    <col min="2" max="2" width="17.8554687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7" width="13" customWidth="1"/>
    <col min="28" max="28" width="10.85546875" customWidth="1"/>
    <col min="29" max="29" width="8.42578125" customWidth="1"/>
    <col min="30" max="30" width="11.5703125" customWidth="1"/>
    <col min="31" max="31" width="10.140625" customWidth="1"/>
    <col min="32" max="33" width="11.42578125" customWidth="1"/>
    <col min="34" max="34" width="9.28515625" bestFit="1" customWidth="1"/>
    <col min="35" max="35" width="12" customWidth="1"/>
    <col min="36" max="36" width="11.85546875" customWidth="1"/>
    <col min="37" max="38" width="10.5703125" customWidth="1"/>
    <col min="39" max="39" width="10.7109375" customWidth="1"/>
    <col min="40" max="40" width="11.85546875" customWidth="1"/>
    <col min="41" max="41" width="13.140625" hidden="1" customWidth="1"/>
    <col min="42" max="43" width="13.28515625" hidden="1" customWidth="1"/>
  </cols>
  <sheetData>
    <row r="1" spans="1:43" ht="18.75">
      <c r="A1" s="6" t="s">
        <v>199</v>
      </c>
      <c r="B1" s="6"/>
      <c r="C1" s="6"/>
      <c r="D1" s="6"/>
      <c r="E1" s="6"/>
      <c r="F1" s="7"/>
      <c r="G1" s="7"/>
      <c r="H1" s="7"/>
      <c r="I1" s="7"/>
      <c r="J1" s="7"/>
      <c r="K1" s="7"/>
      <c r="L1" s="6"/>
      <c r="M1" s="6"/>
      <c r="N1" s="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6"/>
      <c r="AJ1" s="6"/>
      <c r="AK1" s="6"/>
      <c r="AL1" s="6"/>
      <c r="AM1" s="6"/>
      <c r="AN1" s="6"/>
      <c r="AO1" s="6"/>
      <c r="AP1" s="6"/>
    </row>
    <row r="2" spans="1:43" ht="15.7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3" s="15" customFormat="1" ht="77.25" customHeight="1" thickBot="1">
      <c r="A3" s="100" t="s">
        <v>0</v>
      </c>
      <c r="B3" s="100" t="s">
        <v>1</v>
      </c>
      <c r="C3" s="101" t="s">
        <v>24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1" t="s">
        <v>61</v>
      </c>
      <c r="S3" s="103"/>
      <c r="T3" s="103"/>
      <c r="U3" s="103"/>
      <c r="V3" s="103"/>
      <c r="W3" s="103"/>
      <c r="X3" s="103"/>
      <c r="Y3" s="103"/>
      <c r="Z3" s="104"/>
      <c r="AA3" s="105" t="s">
        <v>11</v>
      </c>
      <c r="AB3" s="106" t="s">
        <v>12</v>
      </c>
      <c r="AC3" s="107" t="s">
        <v>13</v>
      </c>
      <c r="AD3" s="108" t="s">
        <v>14</v>
      </c>
      <c r="AE3" s="182" t="s">
        <v>71</v>
      </c>
      <c r="AF3" s="182"/>
      <c r="AG3" s="182" t="s">
        <v>142</v>
      </c>
      <c r="AH3" s="182"/>
      <c r="AI3" s="185" t="s">
        <v>112</v>
      </c>
      <c r="AJ3" s="169"/>
      <c r="AK3" s="169"/>
      <c r="AL3" s="177" t="s">
        <v>144</v>
      </c>
      <c r="AM3" s="186" t="s">
        <v>143</v>
      </c>
      <c r="AN3" s="109" t="s">
        <v>15</v>
      </c>
      <c r="AO3" s="179" t="s">
        <v>126</v>
      </c>
      <c r="AP3" s="183" t="s">
        <v>75</v>
      </c>
      <c r="AQ3" s="170" t="s">
        <v>164</v>
      </c>
    </row>
    <row r="4" spans="1:43" s="15" customFormat="1" ht="40.5" customHeight="1" thickBot="1">
      <c r="A4" s="110"/>
      <c r="B4" s="110"/>
      <c r="C4" s="111" t="s">
        <v>4</v>
      </c>
      <c r="D4" s="111" t="s">
        <v>91</v>
      </c>
      <c r="E4" s="111" t="s">
        <v>92</v>
      </c>
      <c r="F4" s="111" t="s">
        <v>93</v>
      </c>
      <c r="G4" s="104" t="s">
        <v>94</v>
      </c>
      <c r="H4" s="111" t="s">
        <v>42</v>
      </c>
      <c r="I4" s="111" t="s">
        <v>43</v>
      </c>
      <c r="J4" s="111" t="s">
        <v>44</v>
      </c>
      <c r="K4" s="111" t="s">
        <v>95</v>
      </c>
      <c r="L4" s="111" t="s">
        <v>96</v>
      </c>
      <c r="M4" s="111" t="s">
        <v>97</v>
      </c>
      <c r="N4" s="104" t="s">
        <v>98</v>
      </c>
      <c r="O4" s="111" t="s">
        <v>99</v>
      </c>
      <c r="P4" s="111" t="s">
        <v>100</v>
      </c>
      <c r="Q4" s="111" t="s">
        <v>101</v>
      </c>
      <c r="R4" s="111" t="s">
        <v>102</v>
      </c>
      <c r="S4" s="111" t="s">
        <v>103</v>
      </c>
      <c r="T4" s="111" t="s">
        <v>104</v>
      </c>
      <c r="U4" s="111" t="s">
        <v>105</v>
      </c>
      <c r="V4" s="111" t="s">
        <v>106</v>
      </c>
      <c r="W4" s="111" t="s">
        <v>107</v>
      </c>
      <c r="X4" s="111" t="s">
        <v>108</v>
      </c>
      <c r="Y4" s="111" t="s">
        <v>109</v>
      </c>
      <c r="Z4" s="111" t="s">
        <v>110</v>
      </c>
      <c r="AA4" s="112"/>
      <c r="AB4" s="112"/>
      <c r="AC4" s="116"/>
      <c r="AD4" s="116"/>
      <c r="AE4" s="120"/>
      <c r="AF4" s="113"/>
      <c r="AG4" s="113"/>
      <c r="AH4" s="113"/>
      <c r="AI4" s="21" t="s">
        <v>113</v>
      </c>
      <c r="AJ4" s="21" t="s">
        <v>114</v>
      </c>
      <c r="AK4" s="21" t="s">
        <v>115</v>
      </c>
      <c r="AL4" s="178"/>
      <c r="AM4" s="186"/>
      <c r="AN4" s="109"/>
      <c r="AO4" s="179"/>
      <c r="AP4" s="184"/>
      <c r="AQ4" s="170"/>
    </row>
    <row r="5" spans="1:43" s="15" customFormat="1" ht="48" customHeight="1" thickBot="1">
      <c r="A5" s="115"/>
      <c r="B5" s="115"/>
      <c r="C5" s="116"/>
      <c r="D5" s="116"/>
      <c r="E5" s="107"/>
      <c r="F5" s="116"/>
      <c r="G5" s="117"/>
      <c r="H5" s="107"/>
      <c r="I5" s="107"/>
      <c r="J5" s="107"/>
      <c r="K5" s="107"/>
      <c r="L5" s="107"/>
      <c r="M5" s="116"/>
      <c r="N5" s="117"/>
      <c r="O5" s="107"/>
      <c r="P5" s="107"/>
      <c r="Q5" s="118"/>
      <c r="R5" s="116"/>
      <c r="S5" s="119"/>
      <c r="T5" s="119"/>
      <c r="U5" s="119"/>
      <c r="V5" s="119"/>
      <c r="W5" s="119"/>
      <c r="X5" s="119"/>
      <c r="Y5" s="119"/>
      <c r="Z5" s="119"/>
      <c r="AA5" s="116"/>
      <c r="AB5" s="116"/>
      <c r="AC5" s="157"/>
      <c r="AD5" s="157"/>
      <c r="AE5" s="157" t="s">
        <v>141</v>
      </c>
      <c r="AF5" s="120"/>
      <c r="AG5" s="120" t="s">
        <v>141</v>
      </c>
      <c r="AH5" s="120"/>
      <c r="AI5" s="21"/>
      <c r="AJ5" s="21"/>
      <c r="AK5" s="21"/>
      <c r="AL5" s="21"/>
      <c r="AM5" s="121"/>
      <c r="AN5" s="109"/>
      <c r="AO5" s="82"/>
      <c r="AP5" s="114"/>
    </row>
    <row r="6" spans="1:43" s="15" customFormat="1" ht="15.75" hidden="1">
      <c r="A6" s="122" t="s">
        <v>77</v>
      </c>
      <c r="B6" s="123"/>
      <c r="C6" s="124">
        <v>16</v>
      </c>
      <c r="D6" s="124">
        <v>2</v>
      </c>
      <c r="E6" s="125">
        <v>2</v>
      </c>
      <c r="F6" s="124">
        <v>2</v>
      </c>
      <c r="G6" s="125">
        <v>0</v>
      </c>
      <c r="H6" s="125">
        <v>0</v>
      </c>
      <c r="I6" s="125">
        <v>3</v>
      </c>
      <c r="J6" s="125">
        <v>2</v>
      </c>
      <c r="K6" s="125">
        <v>0</v>
      </c>
      <c r="L6" s="125">
        <v>2</v>
      </c>
      <c r="M6" s="124">
        <v>1</v>
      </c>
      <c r="N6" s="125">
        <v>0</v>
      </c>
      <c r="O6" s="125">
        <v>2</v>
      </c>
      <c r="P6" s="125">
        <v>2</v>
      </c>
      <c r="Q6" s="126">
        <v>2</v>
      </c>
      <c r="R6" s="124">
        <v>2</v>
      </c>
      <c r="S6" s="127">
        <v>1</v>
      </c>
      <c r="T6" s="127">
        <v>2</v>
      </c>
      <c r="U6" s="127">
        <v>1</v>
      </c>
      <c r="V6" s="127">
        <v>1</v>
      </c>
      <c r="W6" s="127">
        <v>2</v>
      </c>
      <c r="X6" s="127">
        <v>0</v>
      </c>
      <c r="Y6" s="127">
        <v>2</v>
      </c>
      <c r="Z6" s="127">
        <v>4</v>
      </c>
      <c r="AA6" s="128"/>
      <c r="AB6" s="129">
        <v>3288</v>
      </c>
      <c r="AC6" s="129">
        <f>SUM(AB6/100)</f>
        <v>32.880000000000003</v>
      </c>
      <c r="AD6" s="129">
        <f>SUM(AA6*AC6)</f>
        <v>0</v>
      </c>
      <c r="AE6" s="130"/>
      <c r="AF6" s="130"/>
      <c r="AG6" s="130"/>
      <c r="AH6" s="130">
        <v>0</v>
      </c>
      <c r="AI6" s="131"/>
      <c r="AJ6" s="131">
        <f>SUM(AI6/1.3)</f>
        <v>0</v>
      </c>
      <c r="AK6" s="131">
        <f>SUM(AI6-AJ6)</f>
        <v>0</v>
      </c>
      <c r="AL6" s="132"/>
      <c r="AM6" s="133"/>
      <c r="AN6" s="134">
        <f>SUM(AD6+AF6+AH6+AI6+AM6)</f>
        <v>0</v>
      </c>
      <c r="AO6" s="134">
        <f>SUM(AD6+AF6+AH6)</f>
        <v>0</v>
      </c>
      <c r="AP6" s="135">
        <f>AB6-AD6-AF6</f>
        <v>3288</v>
      </c>
    </row>
    <row r="7" spans="1:43" s="15" customFormat="1" ht="40.15" hidden="1" customHeight="1">
      <c r="A7" s="135" t="s">
        <v>78</v>
      </c>
      <c r="B7" s="135" t="s">
        <v>145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5"/>
      <c r="AB7" s="131"/>
      <c r="AC7" s="137">
        <f>SUM(AB7/100)</f>
        <v>0</v>
      </c>
      <c r="AD7" s="137">
        <f>SUM(AA7*AC7)</f>
        <v>0</v>
      </c>
      <c r="AE7" s="132">
        <v>30</v>
      </c>
      <c r="AF7" s="138">
        <f>SUM(AI7*AE7)/100</f>
        <v>0</v>
      </c>
      <c r="AG7" s="139">
        <v>60</v>
      </c>
      <c r="AH7" s="139">
        <f>SUM(AI7*AG7)/100</f>
        <v>0</v>
      </c>
      <c r="AI7" s="131"/>
      <c r="AJ7" s="131">
        <f>SUM(AI7/1.3)</f>
        <v>0</v>
      </c>
      <c r="AK7" s="131">
        <f>SUM(AI7-AJ7)</f>
        <v>0</v>
      </c>
      <c r="AL7" s="131">
        <f>SUM(AI7*25/100)</f>
        <v>0</v>
      </c>
      <c r="AM7" s="140">
        <f>SUM(AI7*25/100)</f>
        <v>0</v>
      </c>
      <c r="AN7" s="134">
        <f>SUM(AD7+AF7+AH7+AI7+AM7+AL7)</f>
        <v>0</v>
      </c>
      <c r="AO7" s="134">
        <f>SUM(AD7+AF7+AH7)</f>
        <v>0</v>
      </c>
      <c r="AP7" s="141">
        <f>SUM(AB7-AD7-AF7-AH7)</f>
        <v>0</v>
      </c>
    </row>
    <row r="8" spans="1:43" s="15" customFormat="1" ht="47.25" hidden="1">
      <c r="A8" s="142" t="s">
        <v>79</v>
      </c>
      <c r="B8" s="135" t="s">
        <v>81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5">
        <v>0</v>
      </c>
      <c r="AB8" s="143"/>
      <c r="AC8" s="129">
        <f>SUM(AB8/100)</f>
        <v>0</v>
      </c>
      <c r="AD8" s="129">
        <f>SUM(AA8*AC8)</f>
        <v>0</v>
      </c>
      <c r="AE8" s="144"/>
      <c r="AF8" s="143">
        <f>1000-1000</f>
        <v>0</v>
      </c>
      <c r="AG8" s="145"/>
      <c r="AH8" s="145">
        <v>0</v>
      </c>
      <c r="AI8" s="131">
        <v>13333.11</v>
      </c>
      <c r="AJ8" s="131">
        <f>SUM(AI8/1.3)</f>
        <v>10256.238461538462</v>
      </c>
      <c r="AK8" s="131">
        <f>SUM(AI8-AJ8)</f>
        <v>3076.8715384615389</v>
      </c>
      <c r="AL8" s="131"/>
      <c r="AM8" s="146"/>
      <c r="AN8" s="134">
        <f>SUM(AD8+AF8+AH8+AI8+AM8)</f>
        <v>13333.11</v>
      </c>
      <c r="AO8" s="134">
        <f>SUM(AD8+AF8+AH8)</f>
        <v>0</v>
      </c>
      <c r="AP8" s="135">
        <f>SUM(AB8-AD8-AF8-AH8)</f>
        <v>0</v>
      </c>
      <c r="AQ8" s="80">
        <f>SUM(AB8+AI8)</f>
        <v>13333.11</v>
      </c>
    </row>
    <row r="9" spans="1:43" s="15" customFormat="1" ht="40.15" customHeight="1">
      <c r="A9" s="142" t="s">
        <v>80</v>
      </c>
      <c r="B9" s="147" t="s">
        <v>190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9">
        <f>79+2</f>
        <v>81</v>
      </c>
      <c r="AB9" s="150">
        <v>13197</v>
      </c>
      <c r="AC9" s="151">
        <f>SUM(AB9/100)</f>
        <v>131.97</v>
      </c>
      <c r="AD9" s="151">
        <f>SUM(AA9*AC9)</f>
        <v>10689.57</v>
      </c>
      <c r="AE9" s="152"/>
      <c r="AF9" s="150"/>
      <c r="AG9" s="153"/>
      <c r="AH9" s="153">
        <v>0</v>
      </c>
      <c r="AI9" s="154">
        <v>21164.99</v>
      </c>
      <c r="AJ9" s="154">
        <f>SUM(AI9/1.3)</f>
        <v>16280.761538461538</v>
      </c>
      <c r="AK9" s="154">
        <f>SUM(AI9-AJ9)</f>
        <v>4884.2284615384633</v>
      </c>
      <c r="AL9" s="154"/>
      <c r="AM9" s="150"/>
      <c r="AN9" s="155">
        <f>SUM(AD9+AF9+AH9+AI9+AM9)</f>
        <v>31854.560000000001</v>
      </c>
      <c r="AO9" s="156">
        <f>SUM(AD9+AF9+AH9)</f>
        <v>10689.57</v>
      </c>
      <c r="AP9" s="147">
        <f>AB9-AD9-AF9</f>
        <v>2507.4300000000003</v>
      </c>
      <c r="AQ9" s="80">
        <f>SUM(AB9+AI9)</f>
        <v>34361.990000000005</v>
      </c>
    </row>
    <row r="10" spans="1:43">
      <c r="E10">
        <v>66922.7</v>
      </c>
    </row>
    <row r="16" spans="1:43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</sheetData>
  <mergeCells count="8">
    <mergeCell ref="AQ3:AQ4"/>
    <mergeCell ref="AE3:AF3"/>
    <mergeCell ref="AG3:AH3"/>
    <mergeCell ref="AL3:AL4"/>
    <mergeCell ref="AP3:AP4"/>
    <mergeCell ref="AI3:AK3"/>
    <mergeCell ref="AM3:AM4"/>
    <mergeCell ref="AO3:AO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ДОУ (2)</vt:lpstr>
      <vt:lpstr>ШКОЛЫ (2)</vt:lpstr>
      <vt:lpstr>ДОД (2)</vt:lpstr>
      <vt:lpstr>коррекц.</vt:lpstr>
      <vt:lpstr>Детский дом (2)</vt:lpstr>
      <vt:lpstr>БОБ+ЦБ</vt:lpstr>
      <vt:lpstr>'БОБ+ЦБ'!Область_печати</vt:lpstr>
      <vt:lpstr>'Детский дом (2)'!Область_печати</vt:lpstr>
      <vt:lpstr>'ДОД (2)'!Область_печати</vt:lpstr>
      <vt:lpstr>'ДОУ (2)'!Область_печати</vt:lpstr>
      <vt:lpstr>коррекц.!Область_печати</vt:lpstr>
      <vt:lpstr>'ШКОЛЫ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SV107kab</cp:lastModifiedBy>
  <cp:lastPrinted>2019-12-06T10:04:30Z</cp:lastPrinted>
  <dcterms:created xsi:type="dcterms:W3CDTF">2014-07-06T03:46:52Z</dcterms:created>
  <dcterms:modified xsi:type="dcterms:W3CDTF">2021-08-01T13:18:40Z</dcterms:modified>
</cp:coreProperties>
</file>